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RBS\ASISTENTI\MK NOTEIKUMU GROZĪJUMI\Grozījumi 2021.gadā\Vadības sanāksme 26.04\"/>
    </mc:Choice>
  </mc:AlternateContent>
  <bookViews>
    <workbookView xWindow="0" yWindow="0" windowWidth="28800" windowHeight="12135" activeTab="3"/>
  </bookViews>
  <sheets>
    <sheet name="2021" sheetId="1" r:id="rId1"/>
    <sheet name="2022" sheetId="2" r:id="rId2"/>
    <sheet name="2023" sheetId="3" r:id="rId3"/>
    <sheet name="2024" sheetId="4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2" l="1"/>
  <c r="S20" i="2"/>
  <c r="S19" i="2"/>
  <c r="S17" i="2"/>
  <c r="S16" i="2"/>
  <c r="S15" i="2"/>
  <c r="S14" i="2"/>
  <c r="S13" i="2"/>
  <c r="S12" i="2"/>
  <c r="K21" i="2"/>
  <c r="K20" i="2"/>
  <c r="K19" i="2"/>
  <c r="K17" i="2"/>
  <c r="K16" i="2"/>
  <c r="K15" i="2"/>
  <c r="K14" i="2"/>
  <c r="K13" i="2"/>
  <c r="K12" i="2"/>
  <c r="S18" i="4"/>
  <c r="S16" i="4"/>
  <c r="S11" i="4"/>
  <c r="K20" i="4"/>
  <c r="K19" i="4"/>
  <c r="K18" i="4"/>
  <c r="K16" i="4"/>
  <c r="K15" i="4"/>
  <c r="K14" i="4"/>
  <c r="K13" i="4"/>
  <c r="K12" i="4"/>
  <c r="K11" i="4"/>
  <c r="G23" i="4"/>
  <c r="G20" i="4"/>
  <c r="G19" i="4"/>
  <c r="G18" i="4"/>
  <c r="G16" i="4"/>
  <c r="G15" i="4"/>
  <c r="G14" i="4"/>
  <c r="G13" i="4"/>
  <c r="G12" i="4"/>
  <c r="G11" i="4"/>
  <c r="S20" i="3"/>
  <c r="S19" i="3"/>
  <c r="S18" i="3"/>
  <c r="S16" i="3"/>
  <c r="S15" i="3"/>
  <c r="S12" i="3"/>
  <c r="S13" i="3"/>
  <c r="S14" i="3"/>
  <c r="S11" i="3"/>
  <c r="K20" i="3"/>
  <c r="K19" i="3"/>
  <c r="K18" i="3"/>
  <c r="K16" i="3"/>
  <c r="K15" i="3"/>
  <c r="K14" i="3"/>
  <c r="K13" i="3"/>
  <c r="K12" i="3"/>
  <c r="K11" i="3"/>
  <c r="W21" i="1"/>
  <c r="W20" i="1"/>
  <c r="W19" i="1"/>
  <c r="W18" i="1"/>
  <c r="W16" i="1"/>
  <c r="W15" i="1"/>
  <c r="W14" i="1"/>
  <c r="W13" i="1"/>
  <c r="W11" i="1"/>
  <c r="W10" i="1"/>
  <c r="W9" i="1"/>
  <c r="W12" i="1"/>
  <c r="T21" i="4" l="1"/>
  <c r="T22" i="4"/>
  <c r="G12" i="2" l="1"/>
  <c r="R10" i="1"/>
  <c r="R11" i="1"/>
  <c r="R12" i="1"/>
  <c r="R13" i="1"/>
  <c r="R14" i="1"/>
  <c r="R15" i="1"/>
  <c r="R9" i="1"/>
  <c r="R22" i="4" l="1"/>
  <c r="Q22" i="4"/>
  <c r="P22" i="4"/>
  <c r="O22" i="4"/>
  <c r="M22" i="4"/>
  <c r="L22" i="4"/>
  <c r="J22" i="4"/>
  <c r="I22" i="4"/>
  <c r="H22" i="4"/>
  <c r="F22" i="4"/>
  <c r="E22" i="4"/>
  <c r="D22" i="4"/>
  <c r="R21" i="4"/>
  <c r="Q21" i="4"/>
  <c r="P21" i="4"/>
  <c r="O21" i="4"/>
  <c r="M21" i="4"/>
  <c r="L21" i="4"/>
  <c r="J21" i="4"/>
  <c r="I21" i="4"/>
  <c r="H21" i="4"/>
  <c r="F21" i="4"/>
  <c r="E21" i="4"/>
  <c r="D21" i="4"/>
  <c r="R20" i="4"/>
  <c r="Q20" i="4"/>
  <c r="P20" i="4"/>
  <c r="O20" i="4"/>
  <c r="M20" i="4"/>
  <c r="L20" i="4"/>
  <c r="J20" i="4"/>
  <c r="I20" i="4"/>
  <c r="H20" i="4"/>
  <c r="F20" i="4"/>
  <c r="E20" i="4"/>
  <c r="D20" i="4"/>
  <c r="B20" i="4"/>
  <c r="R19" i="4"/>
  <c r="Q19" i="4"/>
  <c r="P19" i="4"/>
  <c r="O19" i="4"/>
  <c r="M19" i="4"/>
  <c r="L19" i="4"/>
  <c r="J19" i="4"/>
  <c r="I19" i="4"/>
  <c r="H19" i="4"/>
  <c r="F19" i="4"/>
  <c r="E19" i="4"/>
  <c r="D19" i="4"/>
  <c r="B19" i="4"/>
  <c r="R18" i="4"/>
  <c r="Q18" i="4"/>
  <c r="P18" i="4"/>
  <c r="O18" i="4"/>
  <c r="M18" i="4"/>
  <c r="L18" i="4"/>
  <c r="J18" i="4"/>
  <c r="I18" i="4"/>
  <c r="H18" i="4"/>
  <c r="F18" i="4"/>
  <c r="E18" i="4"/>
  <c r="D18" i="4"/>
  <c r="B18" i="4"/>
  <c r="R16" i="4"/>
  <c r="P16" i="4"/>
  <c r="M16" i="4"/>
  <c r="L16" i="4"/>
  <c r="J16" i="4"/>
  <c r="I16" i="4"/>
  <c r="H16" i="4"/>
  <c r="F16" i="4"/>
  <c r="E16" i="4"/>
  <c r="D16" i="4"/>
  <c r="B16" i="4"/>
  <c r="B15" i="4"/>
  <c r="N15" i="4" s="1"/>
  <c r="B14" i="4"/>
  <c r="S14" i="4" s="1"/>
  <c r="B12" i="4"/>
  <c r="S12" i="4" s="1"/>
  <c r="B11" i="4"/>
  <c r="N11" i="4" s="1"/>
  <c r="B19" i="3"/>
  <c r="B20" i="3"/>
  <c r="B18" i="3"/>
  <c r="B12" i="3"/>
  <c r="N12" i="3" s="1"/>
  <c r="B14" i="3"/>
  <c r="G14" i="3" s="1"/>
  <c r="B15" i="3"/>
  <c r="B16" i="3"/>
  <c r="B11" i="3"/>
  <c r="B14" i="2"/>
  <c r="B13" i="4" s="1"/>
  <c r="N13" i="2"/>
  <c r="N15" i="2"/>
  <c r="N16" i="2"/>
  <c r="N12" i="2"/>
  <c r="G13" i="2"/>
  <c r="G15" i="2"/>
  <c r="G16" i="2"/>
  <c r="T16" i="2" s="1"/>
  <c r="D20" i="1"/>
  <c r="E20" i="1"/>
  <c r="F20" i="1"/>
  <c r="J20" i="1"/>
  <c r="K20" i="1"/>
  <c r="L20" i="1"/>
  <c r="P20" i="1"/>
  <c r="Q20" i="1"/>
  <c r="S20" i="1"/>
  <c r="T20" i="1"/>
  <c r="U20" i="1"/>
  <c r="V20" i="1"/>
  <c r="B24" i="1"/>
  <c r="G22" i="4" l="1"/>
  <c r="N21" i="4"/>
  <c r="N18" i="4"/>
  <c r="N20" i="4"/>
  <c r="N22" i="4"/>
  <c r="K21" i="4"/>
  <c r="K22" i="4"/>
  <c r="G21" i="4"/>
  <c r="T13" i="2"/>
  <c r="T12" i="2"/>
  <c r="T15" i="2"/>
  <c r="R20" i="1"/>
  <c r="N15" i="3"/>
  <c r="G12" i="3"/>
  <c r="N14" i="3"/>
  <c r="S15" i="4"/>
  <c r="G11" i="3"/>
  <c r="N13" i="4"/>
  <c r="S13" i="4"/>
  <c r="G14" i="2"/>
  <c r="N14" i="2"/>
  <c r="G15" i="3"/>
  <c r="T15" i="3" s="1"/>
  <c r="N11" i="3"/>
  <c r="B13" i="3"/>
  <c r="S20" i="4"/>
  <c r="S21" i="4"/>
  <c r="S19" i="4"/>
  <c r="S22" i="4"/>
  <c r="N12" i="4"/>
  <c r="N16" i="4"/>
  <c r="N19" i="4"/>
  <c r="B23" i="4"/>
  <c r="N14" i="4"/>
  <c r="T18" i="4" l="1"/>
  <c r="T14" i="3"/>
  <c r="T13" i="4"/>
  <c r="T19" i="4"/>
  <c r="T11" i="3"/>
  <c r="T14" i="4"/>
  <c r="T15" i="4"/>
  <c r="T11" i="4"/>
  <c r="T16" i="4"/>
  <c r="T20" i="4"/>
  <c r="T12" i="4"/>
  <c r="T12" i="3"/>
  <c r="T14" i="2"/>
  <c r="N13" i="3"/>
  <c r="G13" i="3"/>
  <c r="K23" i="4"/>
  <c r="N23" i="4"/>
  <c r="S23" i="4"/>
  <c r="T13" i="3" l="1"/>
  <c r="T23" i="4"/>
  <c r="P28" i="4" s="1"/>
  <c r="Q28" i="4" l="1"/>
  <c r="S28" i="4"/>
  <c r="T28" i="4" s="1"/>
  <c r="O29" i="1"/>
  <c r="O30" i="1"/>
  <c r="O31" i="1"/>
  <c r="O32" i="1"/>
  <c r="O33" i="1"/>
  <c r="O34" i="1"/>
  <c r="B23" i="3" l="1"/>
  <c r="R22" i="3"/>
  <c r="Q22" i="3"/>
  <c r="P22" i="3"/>
  <c r="O22" i="3"/>
  <c r="M22" i="3"/>
  <c r="L22" i="3"/>
  <c r="J22" i="3"/>
  <c r="I22" i="3"/>
  <c r="H22" i="3"/>
  <c r="F22" i="3"/>
  <c r="E22" i="3"/>
  <c r="D22" i="3"/>
  <c r="R21" i="3"/>
  <c r="Q21" i="3"/>
  <c r="P21" i="3"/>
  <c r="O21" i="3"/>
  <c r="M21" i="3"/>
  <c r="L21" i="3"/>
  <c r="N21" i="3" s="1"/>
  <c r="J21" i="3"/>
  <c r="I21" i="3"/>
  <c r="H21" i="3"/>
  <c r="F21" i="3"/>
  <c r="E21" i="3"/>
  <c r="D21" i="3"/>
  <c r="R20" i="3"/>
  <c r="Q20" i="3"/>
  <c r="P20" i="3"/>
  <c r="O20" i="3"/>
  <c r="M20" i="3"/>
  <c r="L20" i="3"/>
  <c r="N20" i="3" s="1"/>
  <c r="J20" i="3"/>
  <c r="I20" i="3"/>
  <c r="H20" i="3"/>
  <c r="F20" i="3"/>
  <c r="E20" i="3"/>
  <c r="D20" i="3"/>
  <c r="R19" i="3"/>
  <c r="Q19" i="3"/>
  <c r="P19" i="3"/>
  <c r="O19" i="3"/>
  <c r="M19" i="3"/>
  <c r="L19" i="3"/>
  <c r="N19" i="3" s="1"/>
  <c r="J19" i="3"/>
  <c r="I19" i="3"/>
  <c r="H19" i="3"/>
  <c r="F19" i="3"/>
  <c r="E19" i="3"/>
  <c r="D19" i="3"/>
  <c r="R18" i="3"/>
  <c r="Q18" i="3"/>
  <c r="P18" i="3"/>
  <c r="O18" i="3"/>
  <c r="M18" i="3"/>
  <c r="L18" i="3"/>
  <c r="N18" i="3" s="1"/>
  <c r="J18" i="3"/>
  <c r="I18" i="3"/>
  <c r="H18" i="3"/>
  <c r="F18" i="3"/>
  <c r="E18" i="3"/>
  <c r="D18" i="3"/>
  <c r="R16" i="3"/>
  <c r="Q16" i="3"/>
  <c r="P16" i="3"/>
  <c r="M16" i="3"/>
  <c r="L16" i="3"/>
  <c r="J16" i="3"/>
  <c r="I16" i="3"/>
  <c r="H16" i="3"/>
  <c r="F16" i="3"/>
  <c r="E16" i="3"/>
  <c r="D16" i="3"/>
  <c r="B24" i="2"/>
  <c r="R23" i="2"/>
  <c r="Q23" i="2"/>
  <c r="P23" i="2"/>
  <c r="O23" i="2"/>
  <c r="M23" i="2"/>
  <c r="L23" i="2"/>
  <c r="N23" i="2" s="1"/>
  <c r="J23" i="2"/>
  <c r="I23" i="2"/>
  <c r="H23" i="2"/>
  <c r="F23" i="2"/>
  <c r="E23" i="2"/>
  <c r="D23" i="2"/>
  <c r="R22" i="2"/>
  <c r="Q22" i="2"/>
  <c r="P22" i="2"/>
  <c r="O22" i="2"/>
  <c r="M22" i="2"/>
  <c r="L22" i="2"/>
  <c r="N22" i="2" s="1"/>
  <c r="J22" i="2"/>
  <c r="I22" i="2"/>
  <c r="H22" i="2"/>
  <c r="F22" i="2"/>
  <c r="E22" i="2"/>
  <c r="D22" i="2"/>
  <c r="R21" i="2"/>
  <c r="Q21" i="2"/>
  <c r="P21" i="2"/>
  <c r="O21" i="2"/>
  <c r="M21" i="2"/>
  <c r="L21" i="2"/>
  <c r="N21" i="2" s="1"/>
  <c r="J21" i="2"/>
  <c r="I21" i="2"/>
  <c r="H21" i="2"/>
  <c r="F21" i="2"/>
  <c r="E21" i="2"/>
  <c r="D21" i="2"/>
  <c r="R20" i="2"/>
  <c r="Q20" i="2"/>
  <c r="P20" i="2"/>
  <c r="O20" i="2"/>
  <c r="M20" i="2"/>
  <c r="L20" i="2"/>
  <c r="N20" i="2" s="1"/>
  <c r="J20" i="2"/>
  <c r="I20" i="2"/>
  <c r="H20" i="2"/>
  <c r="F20" i="2"/>
  <c r="E20" i="2"/>
  <c r="D20" i="2"/>
  <c r="R19" i="2"/>
  <c r="Q19" i="2"/>
  <c r="P19" i="2"/>
  <c r="O19" i="2"/>
  <c r="M19" i="2"/>
  <c r="L19" i="2"/>
  <c r="N19" i="2" s="1"/>
  <c r="J19" i="2"/>
  <c r="I19" i="2"/>
  <c r="H19" i="2"/>
  <c r="F19" i="2"/>
  <c r="E19" i="2"/>
  <c r="D19" i="2"/>
  <c r="R17" i="2"/>
  <c r="Q17" i="2"/>
  <c r="P17" i="2"/>
  <c r="O17" i="2"/>
  <c r="M17" i="2"/>
  <c r="L17" i="2"/>
  <c r="J17" i="2"/>
  <c r="I17" i="2"/>
  <c r="H17" i="2"/>
  <c r="F17" i="2"/>
  <c r="E17" i="2"/>
  <c r="D17" i="2"/>
  <c r="N16" i="3" l="1"/>
  <c r="N22" i="3"/>
  <c r="G16" i="3"/>
  <c r="G18" i="3"/>
  <c r="G19" i="3"/>
  <c r="G20" i="3"/>
  <c r="S21" i="3"/>
  <c r="S22" i="3"/>
  <c r="G21" i="3"/>
  <c r="G22" i="3"/>
  <c r="K21" i="3"/>
  <c r="K22" i="3"/>
  <c r="G19" i="2"/>
  <c r="G20" i="2"/>
  <c r="G21" i="2"/>
  <c r="G22" i="2"/>
  <c r="S22" i="2"/>
  <c r="G23" i="2"/>
  <c r="S23" i="2"/>
  <c r="N17" i="2"/>
  <c r="G17" i="2"/>
  <c r="K22" i="2"/>
  <c r="K23" i="2"/>
  <c r="T21" i="3" l="1"/>
  <c r="T22" i="3"/>
  <c r="T20" i="3"/>
  <c r="T18" i="3"/>
  <c r="T19" i="3"/>
  <c r="T16" i="3"/>
  <c r="T22" i="2"/>
  <c r="T20" i="2"/>
  <c r="T17" i="2"/>
  <c r="T23" i="2"/>
  <c r="T21" i="2"/>
  <c r="T19" i="2"/>
  <c r="G23" i="3"/>
  <c r="J32" i="1"/>
  <c r="S23" i="3" l="1"/>
  <c r="N23" i="3"/>
  <c r="K23" i="3"/>
  <c r="K24" i="2"/>
  <c r="G24" i="2"/>
  <c r="N24" i="2"/>
  <c r="S24" i="2"/>
  <c r="J34" i="1"/>
  <c r="J33" i="1"/>
  <c r="J31" i="1"/>
  <c r="J30" i="1"/>
  <c r="J29" i="1"/>
  <c r="V23" i="1"/>
  <c r="U23" i="1"/>
  <c r="T23" i="1"/>
  <c r="S23" i="1"/>
  <c r="Q23" i="1"/>
  <c r="P23" i="1"/>
  <c r="L23" i="1"/>
  <c r="K23" i="1"/>
  <c r="J23" i="1"/>
  <c r="F23" i="1"/>
  <c r="E23" i="1"/>
  <c r="D23" i="1"/>
  <c r="V22" i="1"/>
  <c r="U22" i="1"/>
  <c r="T22" i="1"/>
  <c r="S22" i="1"/>
  <c r="Q22" i="1"/>
  <c r="P22" i="1"/>
  <c r="L22" i="1"/>
  <c r="K22" i="1"/>
  <c r="J22" i="1"/>
  <c r="F22" i="1"/>
  <c r="E22" i="1"/>
  <c r="D22" i="1"/>
  <c r="V21" i="1"/>
  <c r="U21" i="1"/>
  <c r="T21" i="1"/>
  <c r="S21" i="1"/>
  <c r="Q21" i="1"/>
  <c r="P21" i="1"/>
  <c r="L21" i="1"/>
  <c r="K21" i="1"/>
  <c r="J21" i="1"/>
  <c r="F21" i="1"/>
  <c r="E21" i="1"/>
  <c r="D21" i="1"/>
  <c r="V19" i="1"/>
  <c r="U19" i="1"/>
  <c r="T19" i="1"/>
  <c r="S19" i="1"/>
  <c r="Q19" i="1"/>
  <c r="P19" i="1"/>
  <c r="L19" i="1"/>
  <c r="K19" i="1"/>
  <c r="J19" i="1"/>
  <c r="F19" i="1"/>
  <c r="E19" i="1"/>
  <c r="D19" i="1"/>
  <c r="V18" i="1"/>
  <c r="U18" i="1"/>
  <c r="T18" i="1"/>
  <c r="S18" i="1"/>
  <c r="Q18" i="1"/>
  <c r="P18" i="1"/>
  <c r="L18" i="1"/>
  <c r="K18" i="1"/>
  <c r="J18" i="1"/>
  <c r="F18" i="1"/>
  <c r="E18" i="1"/>
  <c r="D18" i="1"/>
  <c r="V16" i="1"/>
  <c r="U16" i="1"/>
  <c r="T16" i="1"/>
  <c r="S16" i="1"/>
  <c r="Q16" i="1"/>
  <c r="P16" i="1"/>
  <c r="L16" i="1"/>
  <c r="K16" i="1"/>
  <c r="J16" i="1"/>
  <c r="F16" i="1"/>
  <c r="E16" i="1"/>
  <c r="D16" i="1"/>
  <c r="W22" i="1" l="1"/>
  <c r="W23" i="1"/>
  <c r="R16" i="1"/>
  <c r="R18" i="1"/>
  <c r="R19" i="1"/>
  <c r="R21" i="1"/>
  <c r="R22" i="1"/>
  <c r="R23" i="1"/>
  <c r="M15" i="1"/>
  <c r="N15" i="1" s="1"/>
  <c r="O15" i="1" s="1"/>
  <c r="M11" i="1"/>
  <c r="M20" i="1"/>
  <c r="N20" i="1" s="1"/>
  <c r="O20" i="1" s="1"/>
  <c r="G11" i="1"/>
  <c r="G20" i="1"/>
  <c r="G15" i="1"/>
  <c r="M18" i="1"/>
  <c r="N18" i="1" s="1"/>
  <c r="M19" i="1"/>
  <c r="N19" i="1" s="1"/>
  <c r="M21" i="1"/>
  <c r="M22" i="1"/>
  <c r="N22" i="1" s="1"/>
  <c r="M23" i="1"/>
  <c r="N23" i="1" s="1"/>
  <c r="G23" i="1"/>
  <c r="G18" i="1"/>
  <c r="G12" i="1"/>
  <c r="G22" i="1"/>
  <c r="H22" i="1" s="1"/>
  <c r="G16" i="1"/>
  <c r="G10" i="1"/>
  <c r="G21" i="1"/>
  <c r="G14" i="1"/>
  <c r="G19" i="1"/>
  <c r="G13" i="1"/>
  <c r="G9" i="1"/>
  <c r="M12" i="1"/>
  <c r="N12" i="1" s="1"/>
  <c r="M10" i="1"/>
  <c r="N10" i="1" s="1"/>
  <c r="M13" i="1"/>
  <c r="N13" i="1" s="1"/>
  <c r="O13" i="1" s="1"/>
  <c r="M14" i="1"/>
  <c r="N14" i="1" s="1"/>
  <c r="M9" i="1"/>
  <c r="N9" i="1" s="1"/>
  <c r="M16" i="1"/>
  <c r="N16" i="1" s="1"/>
  <c r="O16" i="1" s="1"/>
  <c r="H11" i="1" l="1"/>
  <c r="I11" i="1"/>
  <c r="H15" i="1"/>
  <c r="I15" i="1"/>
  <c r="X15" i="1" s="1"/>
  <c r="N11" i="1"/>
  <c r="O11" i="1"/>
  <c r="H20" i="1"/>
  <c r="I20" i="1"/>
  <c r="X20" i="1" s="1"/>
  <c r="T24" i="2"/>
  <c r="P29" i="2" s="1"/>
  <c r="H21" i="1"/>
  <c r="H19" i="1"/>
  <c r="I19" i="1" s="1"/>
  <c r="X19" i="1" s="1"/>
  <c r="H16" i="1"/>
  <c r="H14" i="1"/>
  <c r="H9" i="1"/>
  <c r="N21" i="1"/>
  <c r="O21" i="1" s="1"/>
  <c r="H18" i="1"/>
  <c r="H23" i="1"/>
  <c r="I23" i="1" s="1"/>
  <c r="T23" i="3"/>
  <c r="P27" i="3" s="1"/>
  <c r="I22" i="1"/>
  <c r="X22" i="1" s="1"/>
  <c r="O14" i="1"/>
  <c r="O10" i="1"/>
  <c r="O12" i="1"/>
  <c r="O18" i="1"/>
  <c r="O19" i="1"/>
  <c r="O23" i="1"/>
  <c r="M24" i="1"/>
  <c r="O9" i="1"/>
  <c r="O22" i="1"/>
  <c r="S29" i="2" l="1"/>
  <c r="T29" i="2" s="1"/>
  <c r="Q29" i="2"/>
  <c r="S27" i="3"/>
  <c r="T27" i="3" s="1"/>
  <c r="Q27" i="3"/>
  <c r="X11" i="1"/>
  <c r="X23" i="1"/>
  <c r="I21" i="1"/>
  <c r="X21" i="1" s="1"/>
  <c r="I14" i="1"/>
  <c r="X14" i="1" s="1"/>
  <c r="I16" i="1"/>
  <c r="X16" i="1" s="1"/>
  <c r="I9" i="1"/>
  <c r="X9" i="1" s="1"/>
  <c r="G24" i="1"/>
  <c r="R24" i="1"/>
  <c r="H12" i="1"/>
  <c r="I12" i="1" s="1"/>
  <c r="X12" i="1" s="1"/>
  <c r="H10" i="1"/>
  <c r="H13" i="1"/>
  <c r="I13" i="1" s="1"/>
  <c r="X13" i="1" s="1"/>
  <c r="I18" i="1"/>
  <c r="X18" i="1" s="1"/>
  <c r="W24" i="1"/>
  <c r="O24" i="1"/>
  <c r="N24" i="1"/>
  <c r="H24" i="1" l="1"/>
  <c r="I10" i="1"/>
  <c r="X10" i="1" s="1"/>
  <c r="X24" i="1" l="1"/>
  <c r="K41" i="1" s="1"/>
  <c r="I24" i="1"/>
  <c r="N41" i="1" l="1"/>
  <c r="O41" i="1" s="1"/>
  <c r="L41" i="1"/>
</calcChain>
</file>

<file path=xl/sharedStrings.xml><?xml version="1.0" encoding="utf-8"?>
<sst xmlns="http://schemas.openxmlformats.org/spreadsheetml/2006/main" count="238" uniqueCount="87">
  <si>
    <t>Apmaksāto stundu skaits dienā</t>
  </si>
  <si>
    <t>janvāris</t>
  </si>
  <si>
    <t>februāris</t>
  </si>
  <si>
    <t>marts</t>
  </si>
  <si>
    <t>KOPĀ</t>
  </si>
  <si>
    <t>uz 30.01.2021.</t>
  </si>
  <si>
    <t>aprīlis</t>
  </si>
  <si>
    <t>maijs</t>
  </si>
  <si>
    <t>jūnijs</t>
  </si>
  <si>
    <t>uz 30.04.2021.</t>
  </si>
  <si>
    <t>jūlijs</t>
  </si>
  <si>
    <t>augusts</t>
  </si>
  <si>
    <t>septembris</t>
  </si>
  <si>
    <t>oktobris</t>
  </si>
  <si>
    <t>novembris</t>
  </si>
  <si>
    <t>decembris</t>
  </si>
  <si>
    <t>Pirmsk. izgl.iest.*</t>
  </si>
  <si>
    <t>1.klase</t>
  </si>
  <si>
    <t>2.-8.; 10.-11.</t>
  </si>
  <si>
    <t>9.klase</t>
  </si>
  <si>
    <t>12.klase</t>
  </si>
  <si>
    <t>Prof.sk</t>
  </si>
  <si>
    <t>Priv sk.</t>
  </si>
  <si>
    <t>Pirmsk. izgl.iest.</t>
  </si>
  <si>
    <t>Mēnesis</t>
  </si>
  <si>
    <t>Janvāris</t>
  </si>
  <si>
    <t>Februāris</t>
  </si>
  <si>
    <t>Marts</t>
  </si>
  <si>
    <t>Aprīlis</t>
  </si>
  <si>
    <t>Maijs</t>
  </si>
  <si>
    <t>Jūnijs</t>
  </si>
  <si>
    <t>Plāns, aprēķins</t>
  </si>
  <si>
    <t>Bāze</t>
  </si>
  <si>
    <t>Plānotā Ekanomija (+)/ Iztrūkums (-)</t>
  </si>
  <si>
    <t>Ekanomija (+)/ Iztrūkums (-) (Sākotnējais pilnais aprēķins)</t>
  </si>
  <si>
    <t>Atalgojums</t>
  </si>
  <si>
    <t>DD VSAOI</t>
  </si>
  <si>
    <t>DD VSAOI 23,59%</t>
  </si>
  <si>
    <t>Darba dienu skaits mēnesī</t>
  </si>
  <si>
    <t>Plānotā izpilde %</t>
  </si>
  <si>
    <t xml:space="preserve">Plānotā Izpilde </t>
  </si>
  <si>
    <t>2022.gada prognozes</t>
  </si>
  <si>
    <t>2023.gada prognozes</t>
  </si>
  <si>
    <t>2021.gada prognozes</t>
  </si>
  <si>
    <t xml:space="preserve">Ieņēmumu un izdevumu aprēķins par 2021.gadu </t>
  </si>
  <si>
    <t xml:space="preserve">Ieņēmumu un izdevumu aprēķins par 2023.gadu </t>
  </si>
  <si>
    <t xml:space="preserve">Ieņēmumu un izdevumu aprēķins par 2022.gadu </t>
  </si>
  <si>
    <t xml:space="preserve">Vienas stundas izcenojums asistentam </t>
  </si>
  <si>
    <t xml:space="preserve">Stundu skaits </t>
  </si>
  <si>
    <t>Izglītojamo skaits uz 01.01.2021.</t>
  </si>
  <si>
    <t>1. līdz 4 klase</t>
  </si>
  <si>
    <t>5. līdz 6.klase</t>
  </si>
  <si>
    <t>7.-8.; 10.-11.</t>
  </si>
  <si>
    <t>1. līdz 4.klase</t>
  </si>
  <si>
    <t>Spec. kl.izgl</t>
  </si>
  <si>
    <t>Vienas asistenta pakalpojuma stundas izcenojums</t>
  </si>
  <si>
    <t xml:space="preserve">Ieņēmumu un izdevumu aprēķins par 2024.gadu </t>
  </si>
  <si>
    <t>2024.gada prognozes</t>
  </si>
  <si>
    <t>KOPĀ (pārskaitījums uz 30.07.2021.)</t>
  </si>
  <si>
    <t>KOPĀ (pārskaitījums uz 30.09.2021.</t>
  </si>
  <si>
    <t>KOPĀ (pārskaitījums uz 30.01.2022.)</t>
  </si>
  <si>
    <t>KOPĀ (pārskaitījums uz 30.04.2022.)</t>
  </si>
  <si>
    <t>KOPĀ (pārskaitījums uz 30.07.2022.)</t>
  </si>
  <si>
    <t>KOPĀ (pārskaitījums uz 30.09.2022.)</t>
  </si>
  <si>
    <t>Izglītības pakāpe</t>
  </si>
  <si>
    <t>Izglītojamo skaits</t>
  </si>
  <si>
    <t>A</t>
  </si>
  <si>
    <t>Pavisam kopā 2021.gadā</t>
  </si>
  <si>
    <t>5=2*4</t>
  </si>
  <si>
    <t>6=1-5</t>
  </si>
  <si>
    <t>Vienas asistenta pakalpojuma stundas izcenojums, euro</t>
  </si>
  <si>
    <t>KOPĀ (pārskaitījums uz 30.01.2023.)</t>
  </si>
  <si>
    <t>KOPĀ (pārskaitījums uz 30.04.2023.)</t>
  </si>
  <si>
    <t>KOPĀ (pārskaitījums uz 30.07.2023.)</t>
  </si>
  <si>
    <t>KOPĀ (pārskaitījums uz 30.09.2023.)</t>
  </si>
  <si>
    <t>KOPĀ (pārskaitījums uz 30.01.2024.)</t>
  </si>
  <si>
    <t>KOPĀ (pārskaitījums uz 30.04.2024.)</t>
  </si>
  <si>
    <t>KOPĀ (pārskaitījums uz 30.07.2024.)</t>
  </si>
  <si>
    <t>KOPĀ (pārskaitījums uz 30.09.2024.)</t>
  </si>
  <si>
    <t>Saīsinātais darba dienu skaits</t>
  </si>
  <si>
    <t>Novembris</t>
  </si>
  <si>
    <t>Decembris</t>
  </si>
  <si>
    <t>Saīsinātais darba dienu skaits gadā</t>
  </si>
  <si>
    <t>Jūlijs</t>
  </si>
  <si>
    <t>Augusts</t>
  </si>
  <si>
    <t>Septembris</t>
  </si>
  <si>
    <t>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</si>
</sst>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_ ;[Red]\-0.00\ "/>
    <numFmt numFmtId="166" formatCode="#,##0_ ;[Red]\-#,##0\ "/>
    <numFmt numFmtId="167" formatCode="0.0000_ ;[Red]\-0.0000\ "/>
    <numFmt numFmtId="168" formatCode="#,##0.00;[Red]#,##0.0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7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0" applyFont="1" applyFill="1" applyBorder="1" applyAlignment="1"/>
    <xf numFmtId="0" fontId="0" fillId="2" borderId="0" xfId="0" applyFill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0" fontId="0" fillId="2" borderId="0" xfId="0" applyFill="1" applyBorder="1" applyAlignment="1">
      <alignment wrapText="1"/>
    </xf>
    <xf numFmtId="4" fontId="0" fillId="3" borderId="18" xfId="0" applyNumberForma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3" fontId="11" fillId="0" borderId="0" xfId="0" applyNumberFormat="1" applyFont="1" applyBorder="1"/>
    <xf numFmtId="0" fontId="12" fillId="2" borderId="0" xfId="0" applyFont="1" applyFill="1" applyBorder="1"/>
    <xf numFmtId="0" fontId="0" fillId="2" borderId="0" xfId="0" applyFill="1" applyBorder="1"/>
    <xf numFmtId="9" fontId="2" fillId="2" borderId="0" xfId="1" applyFont="1" applyFill="1" applyBorder="1"/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2" borderId="3" xfId="0" applyNumberFormat="1" applyFill="1" applyBorder="1"/>
    <xf numFmtId="165" fontId="0" fillId="2" borderId="0" xfId="0" applyNumberFormat="1" applyFill="1"/>
    <xf numFmtId="0" fontId="0" fillId="2" borderId="3" xfId="0" applyFill="1" applyBorder="1"/>
    <xf numFmtId="10" fontId="2" fillId="6" borderId="3" xfId="0" applyNumberFormat="1" applyFont="1" applyFill="1" applyBorder="1"/>
    <xf numFmtId="0" fontId="0" fillId="2" borderId="0" xfId="0" applyFill="1"/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2" borderId="0" xfId="0" applyFont="1" applyFill="1" applyBorder="1" applyAlignment="1"/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0" xfId="0" applyNumberFormat="1" applyFont="1" applyFill="1" applyBorder="1" applyAlignment="1">
      <alignment wrapText="1"/>
    </xf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3" fontId="0" fillId="2" borderId="0" xfId="0" applyNumberFormat="1" applyFont="1" applyFill="1" applyBorder="1" applyAlignment="1"/>
    <xf numFmtId="3" fontId="0" fillId="0" borderId="0" xfId="0" applyNumberFormat="1" applyFont="1" applyBorder="1"/>
    <xf numFmtId="9" fontId="9" fillId="2" borderId="0" xfId="1" applyNumberFormat="1" applyFont="1" applyFill="1" applyBorder="1" applyAlignment="1"/>
    <xf numFmtId="3" fontId="0" fillId="2" borderId="0" xfId="0" applyNumberFormat="1" applyFont="1" applyFill="1" applyBorder="1" applyAlignment="1">
      <alignment horizontal="right" wrapText="1"/>
    </xf>
    <xf numFmtId="3" fontId="0" fillId="2" borderId="0" xfId="0" applyNumberFormat="1" applyFont="1" applyFill="1" applyBorder="1"/>
    <xf numFmtId="3" fontId="0" fillId="2" borderId="3" xfId="0" applyNumberForma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6" fontId="0" fillId="2" borderId="0" xfId="0" applyNumberForma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167" fontId="0" fillId="0" borderId="0" xfId="0" applyNumberFormat="1" applyBorder="1"/>
    <xf numFmtId="4" fontId="0" fillId="0" borderId="3" xfId="0" applyNumberFormat="1" applyBorder="1" applyAlignment="1">
      <alignment horizontal="center" vertical="center"/>
    </xf>
    <xf numFmtId="164" fontId="0" fillId="2" borderId="0" xfId="0" applyNumberFormat="1" applyFill="1" applyBorder="1"/>
    <xf numFmtId="0" fontId="4" fillId="0" borderId="0" xfId="0" applyFont="1" applyAlignment="1">
      <alignment horizontal="center"/>
    </xf>
    <xf numFmtId="4" fontId="0" fillId="3" borderId="12" xfId="0" applyNumberFormat="1" applyFill="1" applyBorder="1"/>
    <xf numFmtId="0" fontId="2" fillId="0" borderId="14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2" fontId="0" fillId="2" borderId="0" xfId="0" applyNumberFormat="1" applyFill="1" applyBorder="1"/>
    <xf numFmtId="4" fontId="0" fillId="3" borderId="3" xfId="0" applyNumberFormat="1" applyFill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3" borderId="18" xfId="0" applyNumberFormat="1" applyFill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4" fontId="2" fillId="7" borderId="10" xfId="0" applyNumberFormat="1" applyFont="1" applyFill="1" applyBorder="1"/>
    <xf numFmtId="4" fontId="2" fillId="7" borderId="12" xfId="0" applyNumberFormat="1" applyFont="1" applyFill="1" applyBorder="1"/>
    <xf numFmtId="0" fontId="2" fillId="7" borderId="23" xfId="0" applyFont="1" applyFill="1" applyBorder="1" applyAlignment="1">
      <alignment horizontal="center" vertical="center" wrapText="1"/>
    </xf>
    <xf numFmtId="4" fontId="2" fillId="7" borderId="25" xfId="0" applyNumberFormat="1" applyFont="1" applyFill="1" applyBorder="1"/>
    <xf numFmtId="4" fontId="2" fillId="7" borderId="20" xfId="0" applyNumberFormat="1" applyFont="1" applyFill="1" applyBorder="1"/>
    <xf numFmtId="0" fontId="0" fillId="2" borderId="0" xfId="0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4" fontId="0" fillId="2" borderId="0" xfId="0" applyNumberForma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4" fontId="2" fillId="2" borderId="0" xfId="0" applyNumberFormat="1" applyFont="1" applyFill="1" applyBorder="1"/>
    <xf numFmtId="4" fontId="0" fillId="2" borderId="0" xfId="0" applyNumberForma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2" fillId="8" borderId="3" xfId="0" applyNumberFormat="1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4" fontId="1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Border="1"/>
    <xf numFmtId="4" fontId="0" fillId="0" borderId="0" xfId="0" applyNumberFormat="1" applyBorder="1"/>
    <xf numFmtId="4" fontId="2" fillId="0" borderId="0" xfId="0" applyNumberFormat="1" applyFont="1" applyBorder="1"/>
    <xf numFmtId="2" fontId="2" fillId="9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21" xfId="2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0" fillId="8" borderId="3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2" borderId="8" xfId="0" applyNumberFormat="1" applyFont="1" applyFill="1" applyBorder="1"/>
    <xf numFmtId="3" fontId="2" fillId="0" borderId="0" xfId="0" applyNumberFormat="1" applyFont="1" applyBorder="1"/>
    <xf numFmtId="4" fontId="0" fillId="3" borderId="0" xfId="0" applyNumberForma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2" fillId="3" borderId="12" xfId="0" applyNumberFormat="1" applyFont="1" applyFill="1" applyBorder="1"/>
    <xf numFmtId="4" fontId="2" fillId="3" borderId="25" xfId="0" applyNumberFormat="1" applyFont="1" applyFill="1" applyBorder="1"/>
    <xf numFmtId="4" fontId="2" fillId="7" borderId="2" xfId="0" applyNumberFormat="1" applyFont="1" applyFill="1" applyBorder="1"/>
    <xf numFmtId="4" fontId="2" fillId="7" borderId="11" xfId="0" applyNumberFormat="1" applyFont="1" applyFill="1" applyBorder="1"/>
    <xf numFmtId="4" fontId="2" fillId="7" borderId="26" xfId="0" applyNumberFormat="1" applyFont="1" applyFill="1" applyBorder="1"/>
    <xf numFmtId="4" fontId="2" fillId="7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3" xfId="0" applyNumberFormat="1" applyFill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0" fontId="13" fillId="0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0" fontId="13" fillId="0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34" workbookViewId="0">
      <selection activeCell="W22" sqref="W22"/>
    </sheetView>
  </sheetViews>
  <sheetFormatPr defaultRowHeight="15" x14ac:dyDescent="0.25"/>
  <cols>
    <col min="1" max="1" width="11.42578125" customWidth="1"/>
    <col min="2" max="2" width="9.140625" customWidth="1"/>
    <col min="3" max="3" width="7.85546875" customWidth="1"/>
    <col min="4" max="4" width="12.140625" customWidth="1"/>
    <col min="5" max="5" width="11" customWidth="1"/>
    <col min="6" max="6" width="12.7109375" customWidth="1"/>
    <col min="7" max="7" width="10.85546875" customWidth="1"/>
    <col min="8" max="8" width="11.7109375" customWidth="1"/>
    <col min="9" max="9" width="12" customWidth="1"/>
    <col min="10" max="10" width="13" customWidth="1"/>
    <col min="11" max="11" width="14.5703125" customWidth="1"/>
    <col min="12" max="12" width="14" customWidth="1"/>
    <col min="13" max="13" width="12.5703125" customWidth="1"/>
    <col min="14" max="14" width="13.42578125" customWidth="1"/>
    <col min="15" max="15" width="12.42578125" customWidth="1"/>
    <col min="16" max="16" width="14.7109375" customWidth="1"/>
    <col min="17" max="17" width="14.5703125" customWidth="1"/>
    <col min="18" max="18" width="14.7109375" customWidth="1"/>
    <col min="19" max="19" width="13.7109375" customWidth="1"/>
    <col min="20" max="20" width="8.28515625" customWidth="1"/>
    <col min="21" max="21" width="10.7109375" customWidth="1"/>
    <col min="22" max="22" width="7.42578125" customWidth="1"/>
    <col min="23" max="23" width="14.140625" customWidth="1"/>
    <col min="24" max="24" width="11.5703125" customWidth="1"/>
  </cols>
  <sheetData>
    <row r="1" spans="1:24" x14ac:dyDescent="0.25">
      <c r="W1" s="192"/>
      <c r="X1" s="192"/>
    </row>
    <row r="3" spans="1:24" ht="21" x14ac:dyDescent="0.35">
      <c r="A3" s="193" t="s">
        <v>44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4" ht="15.75" x14ac:dyDescent="0.25">
      <c r="A4" s="194" t="s">
        <v>49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</row>
    <row r="5" spans="1:24" ht="15" customHeight="1" x14ac:dyDescent="0.25">
      <c r="D5" s="9" t="s">
        <v>36</v>
      </c>
      <c r="E5" s="36">
        <v>0.2359</v>
      </c>
    </row>
    <row r="6" spans="1:24" ht="15" customHeight="1" thickBot="1" x14ac:dyDescent="0.3"/>
    <row r="7" spans="1:24" ht="82.5" customHeight="1" x14ac:dyDescent="0.25">
      <c r="A7" s="2" t="s">
        <v>64</v>
      </c>
      <c r="B7" s="65" t="s">
        <v>65</v>
      </c>
      <c r="C7" s="98" t="s">
        <v>0</v>
      </c>
      <c r="D7" s="70" t="s">
        <v>1</v>
      </c>
      <c r="E7" s="1" t="s">
        <v>2</v>
      </c>
      <c r="F7" s="1" t="s">
        <v>3</v>
      </c>
      <c r="G7" s="1" t="s">
        <v>4</v>
      </c>
      <c r="H7" s="3" t="s">
        <v>37</v>
      </c>
      <c r="I7" s="71" t="s">
        <v>5</v>
      </c>
      <c r="J7" s="70" t="s">
        <v>6</v>
      </c>
      <c r="K7" s="1" t="s">
        <v>7</v>
      </c>
      <c r="L7" s="1" t="s">
        <v>8</v>
      </c>
      <c r="M7" s="1" t="s">
        <v>4</v>
      </c>
      <c r="N7" s="3" t="s">
        <v>37</v>
      </c>
      <c r="O7" s="71" t="s">
        <v>9</v>
      </c>
      <c r="P7" s="70" t="s">
        <v>10</v>
      </c>
      <c r="Q7" s="1" t="s">
        <v>11</v>
      </c>
      <c r="R7" s="71" t="s">
        <v>58</v>
      </c>
      <c r="S7" s="65" t="s">
        <v>12</v>
      </c>
      <c r="T7" s="3" t="s">
        <v>13</v>
      </c>
      <c r="U7" s="3" t="s">
        <v>14</v>
      </c>
      <c r="V7" s="3" t="s">
        <v>15</v>
      </c>
      <c r="W7" s="71" t="s">
        <v>59</v>
      </c>
      <c r="X7" s="115" t="s">
        <v>67</v>
      </c>
    </row>
    <row r="8" spans="1:24" ht="17.25" customHeight="1" thickBot="1" x14ac:dyDescent="0.3">
      <c r="A8" s="95" t="s">
        <v>66</v>
      </c>
      <c r="B8" s="99">
        <v>1</v>
      </c>
      <c r="C8" s="100">
        <v>2</v>
      </c>
      <c r="D8" s="99">
        <v>3</v>
      </c>
      <c r="E8" s="5">
        <v>4</v>
      </c>
      <c r="F8" s="96">
        <v>5</v>
      </c>
      <c r="G8" s="5">
        <v>6</v>
      </c>
      <c r="H8" s="96">
        <v>7</v>
      </c>
      <c r="I8" s="100">
        <v>8</v>
      </c>
      <c r="J8" s="99">
        <v>9</v>
      </c>
      <c r="K8" s="5">
        <v>10</v>
      </c>
      <c r="L8" s="96">
        <v>11</v>
      </c>
      <c r="M8" s="5">
        <v>12</v>
      </c>
      <c r="N8" s="96">
        <v>13</v>
      </c>
      <c r="O8" s="100">
        <v>14</v>
      </c>
      <c r="P8" s="99">
        <v>15</v>
      </c>
      <c r="Q8" s="5">
        <v>16</v>
      </c>
      <c r="R8" s="97">
        <v>17</v>
      </c>
      <c r="S8" s="66">
        <v>18</v>
      </c>
      <c r="T8" s="96">
        <v>19</v>
      </c>
      <c r="U8" s="5">
        <v>20</v>
      </c>
      <c r="V8" s="96">
        <v>21</v>
      </c>
      <c r="W8" s="100">
        <v>22</v>
      </c>
      <c r="X8" s="112">
        <v>23</v>
      </c>
    </row>
    <row r="9" spans="1:24" ht="25.5" x14ac:dyDescent="0.25">
      <c r="A9" s="94" t="s">
        <v>16</v>
      </c>
      <c r="B9" s="101">
        <v>88</v>
      </c>
      <c r="C9" s="102">
        <v>8</v>
      </c>
      <c r="D9" s="67">
        <v>20</v>
      </c>
      <c r="E9" s="6">
        <v>20</v>
      </c>
      <c r="F9" s="6">
        <v>23</v>
      </c>
      <c r="G9" s="7">
        <f t="shared" ref="G9:G16" si="0">ROUND((B9*$J$29*C9*D9),2)+ROUND((B9*$J$30*C9*E9),2)+ROUND((B9*$J$31*C9*F9),2)</f>
        <v>132000</v>
      </c>
      <c r="H9" s="7">
        <f t="shared" ref="H9:H16" si="1">G9*$E$5</f>
        <v>31138.799999999999</v>
      </c>
      <c r="I9" s="110">
        <f>G9+H9</f>
        <v>163138.79999999999</v>
      </c>
      <c r="J9" s="67">
        <v>20</v>
      </c>
      <c r="K9" s="6">
        <v>20</v>
      </c>
      <c r="L9" s="6">
        <v>20</v>
      </c>
      <c r="M9" s="7">
        <f t="shared" ref="M9:M16" si="2">ROUND((B9*$J$32*C9*J9),2)+ROUND((B9*$J$33*C9*K9),2)+ROUND((B9*$J$34*C9*L9),2)</f>
        <v>133110.42000000001</v>
      </c>
      <c r="N9" s="7">
        <f t="shared" ref="N9:N16" si="3">M9*$E$5</f>
        <v>31400.748078000004</v>
      </c>
      <c r="O9" s="110">
        <f>M9+N9</f>
        <v>164511.16807800002</v>
      </c>
      <c r="P9" s="67">
        <v>22</v>
      </c>
      <c r="Q9" s="6">
        <v>22</v>
      </c>
      <c r="R9" s="73">
        <f>ROUND((B9*$J$37*C9*P9),2)+ROUND((B9*$J$37*C9*Q9),2)</f>
        <v>139392</v>
      </c>
      <c r="S9" s="67">
        <v>22</v>
      </c>
      <c r="T9" s="6">
        <v>21</v>
      </c>
      <c r="U9" s="6">
        <v>21</v>
      </c>
      <c r="V9" s="6">
        <v>21</v>
      </c>
      <c r="W9" s="110">
        <f>(C9*B9*$J$37*S9)+(B9*C9*$J$37*T9)+(B9*C9*$J$37*U9)+(B9*C9*$J$37*V9)-(B9*$J$37)-(B9*R30*$J$37)</f>
        <v>268092</v>
      </c>
      <c r="X9" s="113">
        <f>I9+O9+R9+W9</f>
        <v>735133.96807800001</v>
      </c>
    </row>
    <row r="10" spans="1:24" ht="30" x14ac:dyDescent="0.25">
      <c r="A10" s="91" t="s">
        <v>50</v>
      </c>
      <c r="B10" s="103">
        <v>91</v>
      </c>
      <c r="C10" s="104">
        <v>8</v>
      </c>
      <c r="D10" s="68">
        <v>5</v>
      </c>
      <c r="E10" s="11">
        <v>20</v>
      </c>
      <c r="F10" s="11">
        <v>18</v>
      </c>
      <c r="G10" s="61">
        <f t="shared" si="0"/>
        <v>92483.7</v>
      </c>
      <c r="H10" s="61">
        <f t="shared" si="1"/>
        <v>21816.904829999999</v>
      </c>
      <c r="I10" s="79">
        <f t="shared" ref="I10:I14" si="4">G10+H10</f>
        <v>114300.60483</v>
      </c>
      <c r="J10" s="68">
        <v>20</v>
      </c>
      <c r="K10" s="11">
        <v>20</v>
      </c>
      <c r="L10" s="11">
        <v>0</v>
      </c>
      <c r="M10" s="61">
        <f t="shared" si="2"/>
        <v>91862.11</v>
      </c>
      <c r="N10" s="61">
        <f t="shared" si="3"/>
        <v>21670.271749</v>
      </c>
      <c r="O10" s="79">
        <f t="shared" ref="O10:O13" si="5">M10+N10</f>
        <v>113532.38174899999</v>
      </c>
      <c r="P10" s="68">
        <v>0</v>
      </c>
      <c r="Q10" s="11">
        <v>0</v>
      </c>
      <c r="R10" s="86">
        <f t="shared" ref="R10:R23" si="6">ROUND((B10*$J$37*C10*P10),2)+ROUND((B10*$J$37*C10*Q10),2)</f>
        <v>0</v>
      </c>
      <c r="S10" s="68">
        <v>22</v>
      </c>
      <c r="T10" s="11">
        <v>16</v>
      </c>
      <c r="U10" s="11">
        <v>21</v>
      </c>
      <c r="V10" s="11">
        <v>15</v>
      </c>
      <c r="W10" s="79">
        <f>(C10*B10*$J$37*S10)+(B10*C10*$J$37*T10)+(B10*C10*$J$37*U10)+(B10*C10*$J$37*V10)-(B10*R29*$J$37)</f>
        <v>242014.5</v>
      </c>
      <c r="X10" s="114">
        <f t="shared" ref="X10:X16" si="7">I10+O10+R10+W10</f>
        <v>469847.48657900002</v>
      </c>
    </row>
    <row r="11" spans="1:24" ht="30" x14ac:dyDescent="0.25">
      <c r="A11" s="91" t="s">
        <v>51</v>
      </c>
      <c r="B11" s="103">
        <v>32</v>
      </c>
      <c r="C11" s="104">
        <v>8</v>
      </c>
      <c r="D11" s="68">
        <v>15</v>
      </c>
      <c r="E11" s="11">
        <v>20</v>
      </c>
      <c r="F11" s="11">
        <v>18</v>
      </c>
      <c r="G11" s="61">
        <f t="shared" si="0"/>
        <v>40521.74</v>
      </c>
      <c r="H11" s="61">
        <f t="shared" si="1"/>
        <v>9559.078465999999</v>
      </c>
      <c r="I11" s="79">
        <f t="shared" ref="I11" si="8">G11+H11</f>
        <v>50080.818465999997</v>
      </c>
      <c r="J11" s="68">
        <v>20</v>
      </c>
      <c r="K11" s="11">
        <v>20</v>
      </c>
      <c r="L11" s="11">
        <v>0</v>
      </c>
      <c r="M11" s="61">
        <f t="shared" si="2"/>
        <v>32303.16</v>
      </c>
      <c r="N11" s="61">
        <f t="shared" si="3"/>
        <v>7620.3154439999998</v>
      </c>
      <c r="O11" s="79">
        <f t="shared" ref="O11" si="9">M11+N11</f>
        <v>39923.475443999996</v>
      </c>
      <c r="P11" s="68">
        <v>0</v>
      </c>
      <c r="Q11" s="11">
        <v>0</v>
      </c>
      <c r="R11" s="86">
        <f t="shared" si="6"/>
        <v>0</v>
      </c>
      <c r="S11" s="68">
        <v>22</v>
      </c>
      <c r="T11" s="11">
        <v>16</v>
      </c>
      <c r="U11" s="11">
        <v>21</v>
      </c>
      <c r="V11" s="11">
        <v>15</v>
      </c>
      <c r="W11" s="79">
        <f>(C11*B11*$J$37*S11)+(B11*C11*$J$37*T11)+(B11*C11*$J$37*U11)+(B11*C11*$J$37*V11)-(B11*R29*$J$37)</f>
        <v>85104</v>
      </c>
      <c r="X11" s="114">
        <f t="shared" si="7"/>
        <v>175108.29391000001</v>
      </c>
    </row>
    <row r="12" spans="1:24" ht="20.25" customHeight="1" x14ac:dyDescent="0.25">
      <c r="A12" s="91" t="s">
        <v>52</v>
      </c>
      <c r="B12" s="105">
        <v>36</v>
      </c>
      <c r="C12" s="104">
        <v>8</v>
      </c>
      <c r="D12" s="68">
        <v>20</v>
      </c>
      <c r="E12" s="8">
        <v>20</v>
      </c>
      <c r="F12" s="8">
        <v>18</v>
      </c>
      <c r="G12" s="61">
        <f t="shared" si="0"/>
        <v>50086.96</v>
      </c>
      <c r="H12" s="61">
        <f t="shared" si="1"/>
        <v>11815.513864</v>
      </c>
      <c r="I12" s="79">
        <f t="shared" si="4"/>
        <v>61902.473864</v>
      </c>
      <c r="J12" s="68">
        <v>20</v>
      </c>
      <c r="K12" s="11">
        <v>20</v>
      </c>
      <c r="L12" s="8">
        <v>0</v>
      </c>
      <c r="M12" s="61">
        <f t="shared" si="2"/>
        <v>36341.06</v>
      </c>
      <c r="N12" s="61">
        <f t="shared" si="3"/>
        <v>8572.8560539999999</v>
      </c>
      <c r="O12" s="79">
        <f t="shared" si="5"/>
        <v>44913.916054000001</v>
      </c>
      <c r="P12" s="74">
        <v>0</v>
      </c>
      <c r="Q12" s="8">
        <v>0</v>
      </c>
      <c r="R12" s="86">
        <f t="shared" si="6"/>
        <v>0</v>
      </c>
      <c r="S12" s="68">
        <v>22</v>
      </c>
      <c r="T12" s="8">
        <v>16</v>
      </c>
      <c r="U12" s="11">
        <v>21</v>
      </c>
      <c r="V12" s="8">
        <v>15</v>
      </c>
      <c r="W12" s="79">
        <f>(C12*B12*$J$37*S12)+(B12*C12*$J$37*T12)+(B12*C12*$J$37*U12)+(B12*C12*$J$37*V12)-(B12*$J$37)</f>
        <v>95742</v>
      </c>
      <c r="X12" s="114">
        <f t="shared" si="7"/>
        <v>202558.389918</v>
      </c>
    </row>
    <row r="13" spans="1:24" x14ac:dyDescent="0.25">
      <c r="A13" s="91" t="s">
        <v>19</v>
      </c>
      <c r="B13" s="103">
        <v>11</v>
      </c>
      <c r="C13" s="104">
        <v>8</v>
      </c>
      <c r="D13" s="68">
        <v>20</v>
      </c>
      <c r="E13" s="8">
        <v>20</v>
      </c>
      <c r="F13" s="8">
        <v>18</v>
      </c>
      <c r="G13" s="61">
        <f t="shared" si="0"/>
        <v>15304.35</v>
      </c>
      <c r="H13" s="61">
        <f t="shared" si="1"/>
        <v>3610.2961650000002</v>
      </c>
      <c r="I13" s="79">
        <f t="shared" si="4"/>
        <v>18914.646165000002</v>
      </c>
      <c r="J13" s="68">
        <v>20</v>
      </c>
      <c r="K13" s="11">
        <v>20</v>
      </c>
      <c r="L13" s="8">
        <v>9</v>
      </c>
      <c r="M13" s="61">
        <f t="shared" si="2"/>
        <v>13594.779999999999</v>
      </c>
      <c r="N13" s="61">
        <f t="shared" si="3"/>
        <v>3207.0086019999999</v>
      </c>
      <c r="O13" s="79">
        <f t="shared" si="5"/>
        <v>16801.788602000001</v>
      </c>
      <c r="P13" s="74">
        <v>0</v>
      </c>
      <c r="Q13" s="8">
        <v>0</v>
      </c>
      <c r="R13" s="86">
        <f t="shared" si="6"/>
        <v>0</v>
      </c>
      <c r="S13" s="68">
        <v>22</v>
      </c>
      <c r="T13" s="8">
        <v>16</v>
      </c>
      <c r="U13" s="11">
        <v>21</v>
      </c>
      <c r="V13" s="8">
        <v>15</v>
      </c>
      <c r="W13" s="79">
        <f>(C13*B13*$J$37*S13)+(B13*C13*$J$37*T13)+(B13*C13*$J$37*U13)+(B13*C13*$J$37*V13)-(B13*R29*$J$37)</f>
        <v>29254.5</v>
      </c>
      <c r="X13" s="114">
        <f t="shared" si="7"/>
        <v>64970.934766999999</v>
      </c>
    </row>
    <row r="14" spans="1:24" x14ac:dyDescent="0.25">
      <c r="A14" s="91" t="s">
        <v>20</v>
      </c>
      <c r="B14" s="103">
        <v>3</v>
      </c>
      <c r="C14" s="104">
        <v>8</v>
      </c>
      <c r="D14" s="68">
        <v>20</v>
      </c>
      <c r="E14" s="8">
        <v>20</v>
      </c>
      <c r="F14" s="8">
        <v>18</v>
      </c>
      <c r="G14" s="61">
        <f t="shared" si="0"/>
        <v>4173.91</v>
      </c>
      <c r="H14" s="61">
        <f t="shared" si="1"/>
        <v>984.62536899999998</v>
      </c>
      <c r="I14" s="79">
        <f t="shared" si="4"/>
        <v>5158.5353690000002</v>
      </c>
      <c r="J14" s="68">
        <v>20</v>
      </c>
      <c r="K14" s="11">
        <v>20</v>
      </c>
      <c r="L14" s="8">
        <v>14</v>
      </c>
      <c r="M14" s="61">
        <f t="shared" si="2"/>
        <v>4085.02</v>
      </c>
      <c r="N14" s="61">
        <f t="shared" si="3"/>
        <v>963.65621799999997</v>
      </c>
      <c r="O14" s="79">
        <f>M14+N14</f>
        <v>5048.6762179999996</v>
      </c>
      <c r="P14" s="74">
        <v>0</v>
      </c>
      <c r="Q14" s="8">
        <v>0</v>
      </c>
      <c r="R14" s="86">
        <f t="shared" si="6"/>
        <v>0</v>
      </c>
      <c r="S14" s="68">
        <v>22</v>
      </c>
      <c r="T14" s="8">
        <v>16</v>
      </c>
      <c r="U14" s="11">
        <v>21</v>
      </c>
      <c r="V14" s="8">
        <v>15</v>
      </c>
      <c r="W14" s="79">
        <f>(C14*B14*$J$37*S14)+(B14*C14*$J$37*T14)+(B14*C14*$J$37*U14)+(B14*C14*$J$37*V14)-(B14*R29*$J$37)</f>
        <v>7978.5</v>
      </c>
      <c r="X14" s="114">
        <f t="shared" si="7"/>
        <v>18185.711586999998</v>
      </c>
    </row>
    <row r="15" spans="1:24" x14ac:dyDescent="0.25">
      <c r="A15" s="91" t="s">
        <v>54</v>
      </c>
      <c r="B15" s="103">
        <v>26</v>
      </c>
      <c r="C15" s="104">
        <v>8</v>
      </c>
      <c r="D15" s="68">
        <v>20</v>
      </c>
      <c r="E15" s="8">
        <v>20</v>
      </c>
      <c r="F15" s="8">
        <v>23</v>
      </c>
      <c r="G15" s="61">
        <f t="shared" si="0"/>
        <v>39000</v>
      </c>
      <c r="H15" s="61">
        <f t="shared" si="1"/>
        <v>9200.1</v>
      </c>
      <c r="I15" s="79">
        <f t="shared" ref="I15" si="10">G15+H15</f>
        <v>48200.1</v>
      </c>
      <c r="J15" s="68">
        <v>20</v>
      </c>
      <c r="K15" s="11">
        <v>20</v>
      </c>
      <c r="L15" s="8">
        <v>0</v>
      </c>
      <c r="M15" s="61">
        <f t="shared" si="2"/>
        <v>26246.32</v>
      </c>
      <c r="N15" s="61">
        <f t="shared" si="3"/>
        <v>6191.5068879999999</v>
      </c>
      <c r="O15" s="79">
        <f>M15+N15</f>
        <v>32437.826888</v>
      </c>
      <c r="P15" s="74">
        <v>0</v>
      </c>
      <c r="Q15" s="8">
        <v>0</v>
      </c>
      <c r="R15" s="86">
        <f t="shared" si="6"/>
        <v>0</v>
      </c>
      <c r="S15" s="68">
        <v>22</v>
      </c>
      <c r="T15" s="8">
        <v>16</v>
      </c>
      <c r="U15" s="11">
        <v>21</v>
      </c>
      <c r="V15" s="8">
        <v>15</v>
      </c>
      <c r="W15" s="79">
        <f>(C15*B15*$J$37*S15)+(B15*C15*$J$37*T15)+(B15*C15*$J$37*U15)+(B15*C15*$J$37*V15)-(B15*R29*$J$37)</f>
        <v>69147</v>
      </c>
      <c r="X15" s="114">
        <f t="shared" si="7"/>
        <v>149784.92688799999</v>
      </c>
    </row>
    <row r="16" spans="1:24" x14ac:dyDescent="0.25">
      <c r="A16" s="91" t="s">
        <v>21</v>
      </c>
      <c r="B16" s="103">
        <v>4</v>
      </c>
      <c r="C16" s="104">
        <v>8</v>
      </c>
      <c r="D16" s="74">
        <f>D9</f>
        <v>20</v>
      </c>
      <c r="E16" s="8">
        <f t="shared" ref="E16:F16" si="11">E9</f>
        <v>20</v>
      </c>
      <c r="F16" s="8">
        <f t="shared" si="11"/>
        <v>23</v>
      </c>
      <c r="G16" s="61">
        <f t="shared" si="0"/>
        <v>6000</v>
      </c>
      <c r="H16" s="61">
        <f t="shared" si="1"/>
        <v>1415.4</v>
      </c>
      <c r="I16" s="79">
        <f>G16+H16</f>
        <v>7415.4</v>
      </c>
      <c r="J16" s="68">
        <f>J9</f>
        <v>20</v>
      </c>
      <c r="K16" s="11">
        <f t="shared" ref="K16:L16" si="12">K9</f>
        <v>20</v>
      </c>
      <c r="L16" s="11">
        <f t="shared" si="12"/>
        <v>20</v>
      </c>
      <c r="M16" s="61">
        <f t="shared" si="2"/>
        <v>6050.48</v>
      </c>
      <c r="N16" s="61">
        <f t="shared" si="3"/>
        <v>1427.3082319999999</v>
      </c>
      <c r="O16" s="79">
        <f>M16+N16</f>
        <v>7477.788231999999</v>
      </c>
      <c r="P16" s="68">
        <f>P9</f>
        <v>22</v>
      </c>
      <c r="Q16" s="11">
        <f>Q9</f>
        <v>22</v>
      </c>
      <c r="R16" s="86">
        <f t="shared" si="6"/>
        <v>6336</v>
      </c>
      <c r="S16" s="68">
        <f>S9</f>
        <v>22</v>
      </c>
      <c r="T16" s="11">
        <f t="shared" ref="T16:V16" si="13">T9</f>
        <v>21</v>
      </c>
      <c r="U16" s="11">
        <f t="shared" si="13"/>
        <v>21</v>
      </c>
      <c r="V16" s="11">
        <f t="shared" si="13"/>
        <v>21</v>
      </c>
      <c r="W16" s="79">
        <f>(C16*B16*$J$37*S16)+(B16*C16*$J$37*T16)+(B16*C16*$J$37*U16)+(B16*C16*$J$37*V16)-(B16*R29*$J$37)-(R30*B16*$J$37)</f>
        <v>12186</v>
      </c>
      <c r="X16" s="114">
        <f t="shared" si="7"/>
        <v>33415.188232</v>
      </c>
    </row>
    <row r="17" spans="1:24" s="37" customFormat="1" x14ac:dyDescent="0.25">
      <c r="A17" s="92" t="s">
        <v>22</v>
      </c>
      <c r="B17" s="106"/>
      <c r="C17" s="107"/>
      <c r="D17" s="80"/>
      <c r="E17" s="76"/>
      <c r="F17" s="76"/>
      <c r="G17" s="89"/>
      <c r="H17" s="89"/>
      <c r="I17" s="81"/>
      <c r="J17" s="80"/>
      <c r="K17" s="76"/>
      <c r="L17" s="76"/>
      <c r="M17" s="85"/>
      <c r="N17" s="85"/>
      <c r="O17" s="81"/>
      <c r="P17" s="80"/>
      <c r="Q17" s="76"/>
      <c r="R17" s="87"/>
      <c r="S17" s="80"/>
      <c r="T17" s="76"/>
      <c r="U17" s="76"/>
      <c r="V17" s="76"/>
      <c r="W17" s="81"/>
      <c r="X17" s="64"/>
    </row>
    <row r="18" spans="1:24" ht="25.5" x14ac:dyDescent="0.25">
      <c r="A18" s="90" t="s">
        <v>23</v>
      </c>
      <c r="B18" s="108">
        <v>22</v>
      </c>
      <c r="C18" s="104">
        <v>8</v>
      </c>
      <c r="D18" s="68">
        <f t="shared" ref="D18:D23" si="14">D9</f>
        <v>20</v>
      </c>
      <c r="E18" s="11">
        <f t="shared" ref="E18:F18" si="15">E9</f>
        <v>20</v>
      </c>
      <c r="F18" s="11">
        <f t="shared" si="15"/>
        <v>23</v>
      </c>
      <c r="G18" s="61">
        <f t="shared" ref="G18:G23" si="16">ROUND((B18*$J$29*C18*D18),2)+ROUND((B18*$J$30*C18*E18),2)+ROUND((B18*$J$31*C18*F18),2)</f>
        <v>33000</v>
      </c>
      <c r="H18" s="61">
        <f t="shared" ref="H18:H23" si="17">G18*$E$5</f>
        <v>7784.7</v>
      </c>
      <c r="I18" s="79">
        <f>G18+H18</f>
        <v>40784.699999999997</v>
      </c>
      <c r="J18" s="68">
        <f t="shared" ref="J18:J23" si="18">J9</f>
        <v>20</v>
      </c>
      <c r="K18" s="11">
        <f t="shared" ref="K18:L18" si="19">K9</f>
        <v>20</v>
      </c>
      <c r="L18" s="11">
        <f t="shared" si="19"/>
        <v>20</v>
      </c>
      <c r="M18" s="61">
        <f t="shared" ref="M18:M23" si="20">ROUND((B18*$J$32*C18*J18),2)+ROUND((B18*$J$33*C18*K18),2)+ROUND((B18*$J$34*C18*L18),2)</f>
        <v>33277.599999999999</v>
      </c>
      <c r="N18" s="61">
        <f t="shared" ref="N18:N23" si="21">M18*$E$5</f>
        <v>7850.1858399999992</v>
      </c>
      <c r="O18" s="79">
        <f>M18+N18</f>
        <v>41127.785839999997</v>
      </c>
      <c r="P18" s="68">
        <f t="shared" ref="P18:Q23" si="22">P9</f>
        <v>22</v>
      </c>
      <c r="Q18" s="11">
        <f t="shared" si="22"/>
        <v>22</v>
      </c>
      <c r="R18" s="86">
        <f t="shared" si="6"/>
        <v>34848</v>
      </c>
      <c r="S18" s="68">
        <f t="shared" ref="S18:S23" si="23">S9</f>
        <v>22</v>
      </c>
      <c r="T18" s="11">
        <f t="shared" ref="T18:V18" si="24">T9</f>
        <v>21</v>
      </c>
      <c r="U18" s="11">
        <f t="shared" si="24"/>
        <v>21</v>
      </c>
      <c r="V18" s="11">
        <f t="shared" si="24"/>
        <v>21</v>
      </c>
      <c r="W18" s="79">
        <f>(C18*B18*$J$37*S18)+(B18*C18*$J$37*T18)+(B18*C18*$J$37*U18)+(B18*C18*$J$37*V18)-(R29*B18*$J$37)-(R30*B18*$J$37)</f>
        <v>67023</v>
      </c>
      <c r="X18" s="114">
        <f>I18+O18+R18+W18</f>
        <v>183783.48583999998</v>
      </c>
    </row>
    <row r="19" spans="1:24" ht="30" x14ac:dyDescent="0.25">
      <c r="A19" s="91" t="s">
        <v>53</v>
      </c>
      <c r="B19" s="103">
        <v>8</v>
      </c>
      <c r="C19" s="104">
        <v>8</v>
      </c>
      <c r="D19" s="68">
        <f t="shared" si="14"/>
        <v>5</v>
      </c>
      <c r="E19" s="11">
        <f t="shared" ref="E19:F23" si="25">E10</f>
        <v>20</v>
      </c>
      <c r="F19" s="11">
        <f t="shared" si="25"/>
        <v>18</v>
      </c>
      <c r="G19" s="61">
        <f t="shared" si="16"/>
        <v>8130.43</v>
      </c>
      <c r="H19" s="61">
        <f t="shared" si="17"/>
        <v>1917.968437</v>
      </c>
      <c r="I19" s="79">
        <f t="shared" ref="I19:I23" si="26">G19+H19</f>
        <v>10048.398437</v>
      </c>
      <c r="J19" s="68">
        <f t="shared" si="18"/>
        <v>20</v>
      </c>
      <c r="K19" s="11">
        <f t="shared" ref="K19:L23" si="27">K10</f>
        <v>20</v>
      </c>
      <c r="L19" s="11">
        <f t="shared" si="27"/>
        <v>0</v>
      </c>
      <c r="M19" s="61">
        <f t="shared" si="20"/>
        <v>8075.79</v>
      </c>
      <c r="N19" s="61">
        <f t="shared" si="21"/>
        <v>1905.078861</v>
      </c>
      <c r="O19" s="79">
        <f t="shared" ref="O19:O23" si="28">M19+N19</f>
        <v>9980.868860999999</v>
      </c>
      <c r="P19" s="68">
        <f t="shared" si="22"/>
        <v>0</v>
      </c>
      <c r="Q19" s="11">
        <f t="shared" si="22"/>
        <v>0</v>
      </c>
      <c r="R19" s="86">
        <f t="shared" si="6"/>
        <v>0</v>
      </c>
      <c r="S19" s="68">
        <f t="shared" si="23"/>
        <v>22</v>
      </c>
      <c r="T19" s="11">
        <f t="shared" ref="T19:V23" si="29">T10</f>
        <v>16</v>
      </c>
      <c r="U19" s="11">
        <f t="shared" si="29"/>
        <v>21</v>
      </c>
      <c r="V19" s="11">
        <f t="shared" si="29"/>
        <v>15</v>
      </c>
      <c r="W19" s="79">
        <f>(C19*B19*$J$37*S19)+(B19*C19*$J$37*T19)+(B19*C19*$J$37*U19)+(B19*C19*$J$37*V19)-(R29*B19*$J$37)</f>
        <v>21276</v>
      </c>
      <c r="X19" s="114">
        <f t="shared" ref="X19:X23" si="30">I19+O19+R19+W19</f>
        <v>41305.267297999999</v>
      </c>
    </row>
    <row r="20" spans="1:24" ht="30" x14ac:dyDescent="0.25">
      <c r="A20" s="91" t="s">
        <v>51</v>
      </c>
      <c r="B20" s="103">
        <v>8</v>
      </c>
      <c r="C20" s="104">
        <v>8</v>
      </c>
      <c r="D20" s="68">
        <f t="shared" si="14"/>
        <v>15</v>
      </c>
      <c r="E20" s="11">
        <f t="shared" si="25"/>
        <v>20</v>
      </c>
      <c r="F20" s="11">
        <f t="shared" si="25"/>
        <v>18</v>
      </c>
      <c r="G20" s="61">
        <f t="shared" si="16"/>
        <v>10130.43</v>
      </c>
      <c r="H20" s="61">
        <f t="shared" si="17"/>
        <v>2389.7684370000002</v>
      </c>
      <c r="I20" s="79">
        <f t="shared" ref="I20" si="31">G20+H20</f>
        <v>12520.198437000001</v>
      </c>
      <c r="J20" s="68">
        <f t="shared" si="18"/>
        <v>20</v>
      </c>
      <c r="K20" s="11">
        <f t="shared" si="27"/>
        <v>20</v>
      </c>
      <c r="L20" s="11">
        <f t="shared" si="27"/>
        <v>0</v>
      </c>
      <c r="M20" s="61">
        <f t="shared" si="20"/>
        <v>8075.79</v>
      </c>
      <c r="N20" s="61">
        <f t="shared" si="21"/>
        <v>1905.078861</v>
      </c>
      <c r="O20" s="79">
        <f t="shared" ref="O20" si="32">M20+N20</f>
        <v>9980.868860999999</v>
      </c>
      <c r="P20" s="68">
        <f t="shared" si="22"/>
        <v>0</v>
      </c>
      <c r="Q20" s="11">
        <f t="shared" si="22"/>
        <v>0</v>
      </c>
      <c r="R20" s="86">
        <f t="shared" si="6"/>
        <v>0</v>
      </c>
      <c r="S20" s="68">
        <f t="shared" si="23"/>
        <v>22</v>
      </c>
      <c r="T20" s="11">
        <f t="shared" si="29"/>
        <v>16</v>
      </c>
      <c r="U20" s="11">
        <f t="shared" si="29"/>
        <v>21</v>
      </c>
      <c r="V20" s="11">
        <f t="shared" si="29"/>
        <v>15</v>
      </c>
      <c r="W20" s="79">
        <f>(C20*B20*$J$37*S20)+(B20*C20*$J$37*T20)+(B20*C20*$J$37*U20)+(B20*C20*$J$37*V20)-(R29*B20*$J$37)</f>
        <v>21276</v>
      </c>
      <c r="X20" s="114">
        <f t="shared" si="30"/>
        <v>43777.067298000002</v>
      </c>
    </row>
    <row r="21" spans="1:24" ht="30" x14ac:dyDescent="0.25">
      <c r="A21" s="91" t="s">
        <v>52</v>
      </c>
      <c r="B21" s="103">
        <v>3</v>
      </c>
      <c r="C21" s="104">
        <v>8</v>
      </c>
      <c r="D21" s="68">
        <f t="shared" si="14"/>
        <v>20</v>
      </c>
      <c r="E21" s="11">
        <f t="shared" si="25"/>
        <v>20</v>
      </c>
      <c r="F21" s="11">
        <f t="shared" si="25"/>
        <v>18</v>
      </c>
      <c r="G21" s="61">
        <f t="shared" si="16"/>
        <v>4173.91</v>
      </c>
      <c r="H21" s="61">
        <f t="shared" si="17"/>
        <v>984.62536899999998</v>
      </c>
      <c r="I21" s="79">
        <f t="shared" si="26"/>
        <v>5158.5353690000002</v>
      </c>
      <c r="J21" s="68">
        <f t="shared" si="18"/>
        <v>20</v>
      </c>
      <c r="K21" s="11">
        <f t="shared" si="27"/>
        <v>20</v>
      </c>
      <c r="L21" s="11">
        <f t="shared" si="27"/>
        <v>0</v>
      </c>
      <c r="M21" s="61">
        <f t="shared" si="20"/>
        <v>3028.42</v>
      </c>
      <c r="N21" s="61">
        <f t="shared" si="21"/>
        <v>714.40427799999998</v>
      </c>
      <c r="O21" s="79">
        <f t="shared" si="28"/>
        <v>3742.824278</v>
      </c>
      <c r="P21" s="68">
        <f t="shared" si="22"/>
        <v>0</v>
      </c>
      <c r="Q21" s="11">
        <f t="shared" si="22"/>
        <v>0</v>
      </c>
      <c r="R21" s="86">
        <f t="shared" si="6"/>
        <v>0</v>
      </c>
      <c r="S21" s="68">
        <f t="shared" si="23"/>
        <v>22</v>
      </c>
      <c r="T21" s="11">
        <f t="shared" si="29"/>
        <v>16</v>
      </c>
      <c r="U21" s="11">
        <f t="shared" si="29"/>
        <v>21</v>
      </c>
      <c r="V21" s="11">
        <f t="shared" si="29"/>
        <v>15</v>
      </c>
      <c r="W21" s="79">
        <f>(C21*B21*$J$37*S21)+(B21*C21*$J$37*T21)+(B21*C21*$J$37*U21)+(B21*C21*$J$37*V21)-(R29*B21*$J$37)</f>
        <v>7978.5</v>
      </c>
      <c r="X21" s="114">
        <f t="shared" si="30"/>
        <v>16879.859647000001</v>
      </c>
    </row>
    <row r="22" spans="1:24" x14ac:dyDescent="0.25">
      <c r="A22" s="91" t="s">
        <v>19</v>
      </c>
      <c r="B22" s="103"/>
      <c r="C22" s="104">
        <v>8</v>
      </c>
      <c r="D22" s="68">
        <f t="shared" si="14"/>
        <v>20</v>
      </c>
      <c r="E22" s="11">
        <f t="shared" si="25"/>
        <v>20</v>
      </c>
      <c r="F22" s="11">
        <f t="shared" si="25"/>
        <v>18</v>
      </c>
      <c r="G22" s="61">
        <f t="shared" si="16"/>
        <v>0</v>
      </c>
      <c r="H22" s="61">
        <f t="shared" si="17"/>
        <v>0</v>
      </c>
      <c r="I22" s="79">
        <f t="shared" si="26"/>
        <v>0</v>
      </c>
      <c r="J22" s="68">
        <f t="shared" si="18"/>
        <v>20</v>
      </c>
      <c r="K22" s="11">
        <f t="shared" si="27"/>
        <v>20</v>
      </c>
      <c r="L22" s="11">
        <f t="shared" si="27"/>
        <v>9</v>
      </c>
      <c r="M22" s="61">
        <f t="shared" si="20"/>
        <v>0</v>
      </c>
      <c r="N22" s="61">
        <f t="shared" si="21"/>
        <v>0</v>
      </c>
      <c r="O22" s="79">
        <f t="shared" si="28"/>
        <v>0</v>
      </c>
      <c r="P22" s="68">
        <f t="shared" si="22"/>
        <v>0</v>
      </c>
      <c r="Q22" s="11">
        <f t="shared" si="22"/>
        <v>0</v>
      </c>
      <c r="R22" s="86">
        <f t="shared" si="6"/>
        <v>0</v>
      </c>
      <c r="S22" s="68">
        <f t="shared" si="23"/>
        <v>22</v>
      </c>
      <c r="T22" s="11">
        <f t="shared" si="29"/>
        <v>16</v>
      </c>
      <c r="U22" s="11">
        <f t="shared" si="29"/>
        <v>21</v>
      </c>
      <c r="V22" s="11">
        <f t="shared" si="29"/>
        <v>15</v>
      </c>
      <c r="W22" s="79">
        <f t="shared" ref="W10:W23" si="33">(C22*B22*$J$37*S22)+(B22*C22*$J$37*T22)+(B22*C22*$J$37*U22)+(B22*C22*$J$37*V22)</f>
        <v>0</v>
      </c>
      <c r="X22" s="114">
        <f t="shared" si="30"/>
        <v>0</v>
      </c>
    </row>
    <row r="23" spans="1:24" ht="15.75" thickBot="1" x14ac:dyDescent="0.3">
      <c r="A23" s="93" t="s">
        <v>20</v>
      </c>
      <c r="B23" s="109"/>
      <c r="C23" s="72">
        <v>8</v>
      </c>
      <c r="D23" s="69">
        <f t="shared" si="14"/>
        <v>20</v>
      </c>
      <c r="E23" s="82">
        <f t="shared" si="25"/>
        <v>20</v>
      </c>
      <c r="F23" s="82">
        <f t="shared" si="25"/>
        <v>18</v>
      </c>
      <c r="G23" s="111">
        <f t="shared" si="16"/>
        <v>0</v>
      </c>
      <c r="H23" s="111">
        <f t="shared" si="17"/>
        <v>0</v>
      </c>
      <c r="I23" s="83">
        <f t="shared" si="26"/>
        <v>0</v>
      </c>
      <c r="J23" s="69">
        <f t="shared" si="18"/>
        <v>20</v>
      </c>
      <c r="K23" s="82">
        <f t="shared" si="27"/>
        <v>20</v>
      </c>
      <c r="L23" s="82">
        <f t="shared" si="27"/>
        <v>14</v>
      </c>
      <c r="M23" s="111">
        <f t="shared" si="20"/>
        <v>0</v>
      </c>
      <c r="N23" s="111">
        <f t="shared" si="21"/>
        <v>0</v>
      </c>
      <c r="O23" s="83">
        <f t="shared" si="28"/>
        <v>0</v>
      </c>
      <c r="P23" s="69">
        <f t="shared" si="22"/>
        <v>0</v>
      </c>
      <c r="Q23" s="82">
        <f t="shared" si="22"/>
        <v>0</v>
      </c>
      <c r="R23" s="88">
        <f t="shared" si="6"/>
        <v>0</v>
      </c>
      <c r="S23" s="69">
        <f t="shared" si="23"/>
        <v>22</v>
      </c>
      <c r="T23" s="82">
        <f t="shared" si="29"/>
        <v>16</v>
      </c>
      <c r="U23" s="82">
        <f t="shared" si="29"/>
        <v>21</v>
      </c>
      <c r="V23" s="82">
        <f t="shared" si="29"/>
        <v>15</v>
      </c>
      <c r="W23" s="83">
        <f t="shared" si="33"/>
        <v>0</v>
      </c>
      <c r="X23" s="116">
        <f t="shared" si="30"/>
        <v>0</v>
      </c>
    </row>
    <row r="24" spans="1:24" ht="19.5" thickBot="1" x14ac:dyDescent="0.35">
      <c r="B24" s="13">
        <f>SUM(B9:B23)</f>
        <v>332</v>
      </c>
      <c r="G24" s="14">
        <f>SUM(G9:G23)</f>
        <v>435005.42999999993</v>
      </c>
      <c r="H24" s="14">
        <f t="shared" ref="H24" si="34">SUM(H9:H23)</f>
        <v>102617.78093700002</v>
      </c>
      <c r="I24" s="14">
        <f>SUM(I9:I23)</f>
        <v>537623.21093700011</v>
      </c>
      <c r="M24" s="14">
        <f>SUM(M9:M23)</f>
        <v>396050.94999999995</v>
      </c>
      <c r="N24" s="14">
        <f t="shared" ref="N24:O24" si="35">SUM(N9:N23)</f>
        <v>93428.419105000023</v>
      </c>
      <c r="O24" s="14">
        <f t="shared" si="35"/>
        <v>489479.36910499999</v>
      </c>
      <c r="R24" s="14">
        <f>SUM(R9:R23)</f>
        <v>180576</v>
      </c>
      <c r="W24" s="14">
        <f>SUM(W9:W23)</f>
        <v>927072</v>
      </c>
      <c r="X24" s="117">
        <f>SUM(X9:X23)</f>
        <v>2134750.5800419999</v>
      </c>
    </row>
    <row r="26" spans="1:24" x14ac:dyDescent="0.25">
      <c r="I26" s="195"/>
      <c r="J26" s="195"/>
      <c r="K26" s="195"/>
      <c r="L26" s="195"/>
      <c r="M26" s="195"/>
      <c r="N26" s="195"/>
      <c r="O26" s="195"/>
      <c r="P26" s="195"/>
    </row>
    <row r="28" spans="1:24" ht="60" x14ac:dyDescent="0.25">
      <c r="B28" s="21"/>
      <c r="C28" s="118"/>
      <c r="D28" s="56"/>
      <c r="E28" s="56"/>
      <c r="F28" s="56"/>
      <c r="G28" s="56"/>
      <c r="H28" s="17"/>
      <c r="I28" s="18" t="s">
        <v>24</v>
      </c>
      <c r="J28" s="18" t="s">
        <v>47</v>
      </c>
      <c r="K28" s="17"/>
      <c r="M28" s="32" t="s">
        <v>35</v>
      </c>
      <c r="N28" s="32" t="s">
        <v>38</v>
      </c>
      <c r="O28" s="32" t="s">
        <v>48</v>
      </c>
      <c r="P28" s="38"/>
      <c r="Q28" s="200" t="s">
        <v>79</v>
      </c>
      <c r="R28" s="200"/>
    </row>
    <row r="29" spans="1:24" x14ac:dyDescent="0.25">
      <c r="B29" s="119"/>
      <c r="C29" s="120"/>
      <c r="D29" s="121"/>
      <c r="E29" s="121"/>
      <c r="F29" s="121"/>
      <c r="G29" s="29"/>
      <c r="I29" s="9" t="s">
        <v>25</v>
      </c>
      <c r="J29" s="33">
        <f t="shared" ref="J29:J34" si="36">M29/O29</f>
        <v>3.125</v>
      </c>
      <c r="K29" s="60"/>
      <c r="M29" s="35">
        <v>500</v>
      </c>
      <c r="N29" s="35">
        <v>20</v>
      </c>
      <c r="O29" s="35">
        <f>N29*8</f>
        <v>160</v>
      </c>
      <c r="P29" s="19"/>
      <c r="Q29" s="9" t="s">
        <v>80</v>
      </c>
      <c r="R29" s="8">
        <v>1</v>
      </c>
    </row>
    <row r="30" spans="1:24" x14ac:dyDescent="0.25">
      <c r="B30" s="29"/>
      <c r="C30" s="122"/>
      <c r="D30" s="121"/>
      <c r="E30" s="121"/>
      <c r="F30" s="121"/>
      <c r="G30" s="29"/>
      <c r="I30" s="9" t="s">
        <v>26</v>
      </c>
      <c r="J30" s="33">
        <f t="shared" si="36"/>
        <v>3.125</v>
      </c>
      <c r="K30" s="60"/>
      <c r="M30" s="35">
        <v>500</v>
      </c>
      <c r="N30" s="35">
        <v>20</v>
      </c>
      <c r="O30" s="35">
        <f t="shared" ref="O30" si="37">N30*8</f>
        <v>160</v>
      </c>
      <c r="P30" s="19"/>
      <c r="Q30" s="9" t="s">
        <v>81</v>
      </c>
      <c r="R30" s="8">
        <v>2</v>
      </c>
    </row>
    <row r="31" spans="1:24" x14ac:dyDescent="0.25">
      <c r="B31" s="29"/>
      <c r="C31" s="122"/>
      <c r="D31" s="121"/>
      <c r="E31" s="121"/>
      <c r="F31" s="121"/>
      <c r="G31" s="29"/>
      <c r="I31" s="9" t="s">
        <v>27</v>
      </c>
      <c r="J31" s="33">
        <f t="shared" si="36"/>
        <v>2.7173913043478262</v>
      </c>
      <c r="K31" s="60"/>
      <c r="M31" s="35">
        <v>500</v>
      </c>
      <c r="N31" s="35">
        <v>23</v>
      </c>
      <c r="O31" s="35">
        <f>N31*8</f>
        <v>184</v>
      </c>
      <c r="P31" s="19"/>
    </row>
    <row r="32" spans="1:24" x14ac:dyDescent="0.25">
      <c r="B32" s="29"/>
      <c r="C32" s="123"/>
      <c r="D32" s="124"/>
      <c r="E32" s="125"/>
      <c r="F32" s="125"/>
      <c r="G32" s="121"/>
      <c r="H32" s="15"/>
      <c r="I32" s="9" t="s">
        <v>28</v>
      </c>
      <c r="J32" s="33">
        <f t="shared" si="36"/>
        <v>3.1645569620253164</v>
      </c>
      <c r="K32" s="60"/>
      <c r="M32" s="35">
        <v>500</v>
      </c>
      <c r="N32" s="35">
        <v>20</v>
      </c>
      <c r="O32" s="35">
        <f>N32*8-1-1</f>
        <v>158</v>
      </c>
      <c r="P32" s="19"/>
    </row>
    <row r="33" spans="2:21" x14ac:dyDescent="0.25">
      <c r="B33" s="29"/>
      <c r="C33" s="120"/>
      <c r="D33" s="121"/>
      <c r="E33" s="121"/>
      <c r="F33" s="121"/>
      <c r="G33" s="29"/>
      <c r="I33" s="9" t="s">
        <v>29</v>
      </c>
      <c r="J33" s="33">
        <f t="shared" si="36"/>
        <v>3.1446540880503147</v>
      </c>
      <c r="K33" s="60"/>
      <c r="M33" s="35">
        <v>500</v>
      </c>
      <c r="N33" s="35">
        <v>20</v>
      </c>
      <c r="O33" s="35">
        <f>N33*8-1</f>
        <v>159</v>
      </c>
      <c r="P33" s="19"/>
    </row>
    <row r="34" spans="2:21" x14ac:dyDescent="0.25">
      <c r="B34" s="29"/>
      <c r="C34" s="122"/>
      <c r="D34" s="121"/>
      <c r="E34" s="121"/>
      <c r="F34" s="121"/>
      <c r="G34" s="29"/>
      <c r="I34" s="9" t="s">
        <v>30</v>
      </c>
      <c r="J34" s="33">
        <f t="shared" si="36"/>
        <v>3.1446540880503147</v>
      </c>
      <c r="K34" s="60"/>
      <c r="M34" s="35">
        <v>500</v>
      </c>
      <c r="N34" s="35">
        <v>20</v>
      </c>
      <c r="O34" s="35">
        <f>N34*8-1</f>
        <v>159</v>
      </c>
      <c r="P34" s="19"/>
    </row>
    <row r="35" spans="2:21" x14ac:dyDescent="0.25">
      <c r="B35" s="29"/>
      <c r="C35" s="122"/>
      <c r="D35" s="121"/>
      <c r="E35" s="121"/>
      <c r="F35" s="121"/>
      <c r="G35" s="29"/>
      <c r="I35" s="19"/>
      <c r="J35" s="84"/>
      <c r="K35" s="60"/>
      <c r="M35" s="29"/>
      <c r="N35" s="29"/>
      <c r="O35" s="29"/>
      <c r="P35" s="19"/>
    </row>
    <row r="36" spans="2:21" ht="43.5" customHeight="1" x14ac:dyDescent="0.25">
      <c r="B36" s="29"/>
      <c r="C36" s="123"/>
      <c r="D36" s="125"/>
      <c r="E36" s="125"/>
      <c r="F36" s="125"/>
      <c r="G36" s="121"/>
      <c r="I36" s="196" t="s">
        <v>55</v>
      </c>
      <c r="J36" s="196"/>
      <c r="K36" s="60"/>
      <c r="M36" s="29"/>
      <c r="N36" s="29"/>
      <c r="O36" s="29"/>
      <c r="P36" s="19"/>
    </row>
    <row r="37" spans="2:21" x14ac:dyDescent="0.25">
      <c r="B37" s="29"/>
      <c r="C37" s="120"/>
      <c r="D37" s="121"/>
      <c r="E37" s="121"/>
      <c r="F37" s="121"/>
      <c r="G37" s="29"/>
      <c r="I37" s="19"/>
      <c r="J37" s="165">
        <v>4.5</v>
      </c>
      <c r="K37" s="60"/>
      <c r="M37" s="29"/>
      <c r="N37" s="29"/>
      <c r="O37" s="29"/>
      <c r="P37" s="19"/>
    </row>
    <row r="38" spans="2:21" x14ac:dyDescent="0.25">
      <c r="B38" s="29"/>
      <c r="C38" s="122"/>
      <c r="D38" s="121"/>
      <c r="E38" s="121"/>
      <c r="F38" s="121"/>
      <c r="G38" s="29"/>
      <c r="I38" s="19"/>
      <c r="J38" s="84"/>
      <c r="K38" s="60"/>
      <c r="M38" s="29"/>
      <c r="N38" s="29"/>
      <c r="O38" s="29"/>
      <c r="P38" s="19"/>
    </row>
    <row r="39" spans="2:21" ht="75" x14ac:dyDescent="0.25">
      <c r="B39" s="29"/>
      <c r="C39" s="122"/>
      <c r="D39" s="121"/>
      <c r="E39" s="121"/>
      <c r="F39" s="121"/>
      <c r="G39" s="29"/>
      <c r="I39" s="45"/>
      <c r="J39" s="31" t="s">
        <v>32</v>
      </c>
      <c r="K39" s="31" t="s">
        <v>31</v>
      </c>
      <c r="L39" s="134" t="s">
        <v>34</v>
      </c>
      <c r="M39" s="31" t="s">
        <v>39</v>
      </c>
      <c r="N39" s="31" t="s">
        <v>40</v>
      </c>
      <c r="O39" s="31" t="s">
        <v>33</v>
      </c>
    </row>
    <row r="40" spans="2:21" x14ac:dyDescent="0.25">
      <c r="B40" s="29"/>
      <c r="C40" s="123"/>
      <c r="D40" s="125"/>
      <c r="E40" s="125"/>
      <c r="F40" s="125"/>
      <c r="G40" s="121"/>
      <c r="H40" s="38"/>
      <c r="I40" s="46"/>
      <c r="J40" s="11">
        <v>1</v>
      </c>
      <c r="K40" s="11">
        <v>2</v>
      </c>
      <c r="L40" s="11">
        <v>3</v>
      </c>
      <c r="M40" s="11">
        <v>4</v>
      </c>
      <c r="N40" s="11" t="s">
        <v>68</v>
      </c>
      <c r="O40" s="54" t="s">
        <v>69</v>
      </c>
    </row>
    <row r="41" spans="2:21" ht="30" x14ac:dyDescent="0.25">
      <c r="B41" s="29"/>
      <c r="C41" s="120"/>
      <c r="D41" s="121"/>
      <c r="E41" s="121"/>
      <c r="F41" s="121"/>
      <c r="G41" s="29"/>
      <c r="H41" s="129"/>
      <c r="I41" s="59" t="s">
        <v>43</v>
      </c>
      <c r="J41" s="130">
        <v>1031876</v>
      </c>
      <c r="K41" s="188">
        <f>X24</f>
        <v>2134750.5800419999</v>
      </c>
      <c r="L41" s="135">
        <f>J41-K41</f>
        <v>-1102874.5800419999</v>
      </c>
      <c r="M41" s="131">
        <v>0.75</v>
      </c>
      <c r="N41" s="132">
        <f>K41*M41</f>
        <v>1601062.9350314999</v>
      </c>
      <c r="O41" s="133">
        <f>J41-N41</f>
        <v>-569186.93503149995</v>
      </c>
    </row>
    <row r="42" spans="2:21" ht="15.75" customHeight="1" x14ac:dyDescent="0.25">
      <c r="B42" s="29"/>
      <c r="C42" s="122"/>
      <c r="D42" s="121"/>
      <c r="E42" s="121"/>
      <c r="F42" s="121"/>
      <c r="G42" s="29"/>
      <c r="K42" s="19"/>
      <c r="L42" s="56"/>
      <c r="M42" s="56"/>
      <c r="N42" s="56"/>
      <c r="O42" s="56"/>
      <c r="P42" s="56"/>
      <c r="Q42" s="56"/>
      <c r="R42" s="56"/>
      <c r="S42" s="21"/>
      <c r="T42" s="38"/>
      <c r="U42" s="38"/>
    </row>
    <row r="43" spans="2:21" ht="18.75" x14ac:dyDescent="0.3">
      <c r="B43" s="29"/>
      <c r="C43" s="122"/>
      <c r="D43" s="121"/>
      <c r="E43" s="121"/>
      <c r="F43" s="121"/>
      <c r="G43" s="29"/>
      <c r="H43" s="15"/>
      <c r="K43" s="20"/>
      <c r="L43" s="47"/>
      <c r="M43" s="47"/>
      <c r="N43" s="47"/>
      <c r="O43" s="47"/>
      <c r="P43" s="47"/>
      <c r="Q43" s="47"/>
      <c r="R43" s="57"/>
      <c r="S43" s="29"/>
      <c r="T43" s="19"/>
      <c r="U43" s="19"/>
    </row>
    <row r="44" spans="2:21" x14ac:dyDescent="0.25">
      <c r="B44" s="29"/>
      <c r="C44" s="123"/>
      <c r="D44" s="125"/>
      <c r="E44" s="125"/>
      <c r="F44" s="125"/>
      <c r="G44" s="121"/>
      <c r="K44" s="21"/>
      <c r="L44" s="42"/>
      <c r="M44" s="47"/>
      <c r="N44" s="47"/>
      <c r="O44" s="49"/>
      <c r="P44" s="53"/>
      <c r="Q44" s="49"/>
      <c r="R44" s="51"/>
      <c r="S44" s="55"/>
      <c r="T44" s="19"/>
      <c r="U44" s="19"/>
    </row>
    <row r="45" spans="2:21" x14ac:dyDescent="0.25">
      <c r="B45" s="29"/>
      <c r="C45" s="120"/>
      <c r="D45" s="121"/>
      <c r="E45" s="121"/>
      <c r="F45" s="126"/>
      <c r="G45" s="29"/>
      <c r="H45" s="15"/>
      <c r="K45" s="23"/>
      <c r="L45" s="43"/>
      <c r="M45" s="47"/>
      <c r="N45" s="47"/>
      <c r="O45" s="49"/>
      <c r="P45" s="53"/>
      <c r="Q45" s="52"/>
      <c r="R45" s="51"/>
      <c r="S45" s="55"/>
      <c r="T45" s="39"/>
      <c r="U45" s="19"/>
    </row>
    <row r="46" spans="2:21" x14ac:dyDescent="0.25">
      <c r="B46" s="29"/>
      <c r="C46" s="122"/>
      <c r="D46" s="121"/>
      <c r="E46" s="121"/>
      <c r="F46" s="126"/>
      <c r="G46" s="29"/>
      <c r="H46" s="15"/>
      <c r="K46" s="23"/>
      <c r="L46" s="44"/>
      <c r="M46" s="47"/>
      <c r="N46" s="47"/>
      <c r="O46" s="49"/>
      <c r="P46" s="53"/>
      <c r="Q46" s="53"/>
      <c r="R46" s="51"/>
      <c r="S46" s="55"/>
      <c r="T46" s="39"/>
      <c r="U46" s="19"/>
    </row>
    <row r="47" spans="2:21" ht="49.5" customHeight="1" x14ac:dyDescent="0.25">
      <c r="B47" s="29"/>
      <c r="C47" s="122"/>
      <c r="D47" s="121"/>
      <c r="E47" s="121"/>
      <c r="F47" s="126"/>
      <c r="G47" s="29"/>
      <c r="R47" s="51"/>
      <c r="S47" s="55"/>
      <c r="T47" s="39"/>
      <c r="U47" s="39"/>
    </row>
    <row r="48" spans="2:21" ht="32.25" customHeight="1" x14ac:dyDescent="0.25">
      <c r="B48" s="29"/>
      <c r="C48" s="123"/>
      <c r="D48" s="121"/>
      <c r="E48" s="121"/>
      <c r="F48" s="126"/>
      <c r="G48" s="29"/>
      <c r="R48" s="51"/>
      <c r="S48" s="55"/>
    </row>
    <row r="49" spans="2:19" x14ac:dyDescent="0.25">
      <c r="B49" s="29"/>
      <c r="C49" s="29"/>
      <c r="D49" s="127"/>
      <c r="E49" s="128"/>
      <c r="F49" s="127"/>
      <c r="G49" s="127"/>
      <c r="R49" s="51"/>
      <c r="S49" s="55"/>
    </row>
    <row r="50" spans="2:19" ht="15.75" x14ac:dyDescent="0.25">
      <c r="D50" s="25"/>
      <c r="E50" s="26"/>
      <c r="F50" s="25"/>
      <c r="G50" s="25"/>
      <c r="H50" s="27"/>
      <c r="K50" s="23"/>
      <c r="L50" s="29"/>
      <c r="M50" s="29"/>
      <c r="N50" s="29"/>
      <c r="O50" s="29"/>
      <c r="P50" s="29"/>
      <c r="Q50" s="29"/>
      <c r="R50" s="29"/>
      <c r="S50" s="29"/>
    </row>
    <row r="51" spans="2:19" ht="15.75" x14ac:dyDescent="0.25">
      <c r="D51" s="25"/>
      <c r="E51" s="26"/>
      <c r="F51" s="25"/>
      <c r="G51" s="25"/>
      <c r="H51" s="27"/>
      <c r="K51" s="23"/>
      <c r="R51" s="28"/>
    </row>
  </sheetData>
  <mergeCells count="6">
    <mergeCell ref="W1:X1"/>
    <mergeCell ref="A3:W3"/>
    <mergeCell ref="A4:X4"/>
    <mergeCell ref="I26:P26"/>
    <mergeCell ref="I36:J36"/>
    <mergeCell ref="Q28:R28"/>
  </mergeCells>
  <pageMargins left="0.51181102362204722" right="0.51181102362204722" top="0.55118110236220474" bottom="0.55118110236220474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F19" workbookViewId="0">
      <selection activeCell="S21" sqref="S21"/>
    </sheetView>
  </sheetViews>
  <sheetFormatPr defaultRowHeight="15" x14ac:dyDescent="0.25"/>
  <cols>
    <col min="1" max="1" width="11.42578125" customWidth="1"/>
    <col min="2" max="2" width="9.140625" customWidth="1"/>
    <col min="3" max="3" width="7.85546875" customWidth="1"/>
    <col min="4" max="4" width="10.140625" customWidth="1"/>
    <col min="5" max="5" width="11" customWidth="1"/>
    <col min="6" max="6" width="10.7109375" customWidth="1"/>
    <col min="7" max="7" width="13.5703125" customWidth="1"/>
    <col min="8" max="8" width="10.28515625" customWidth="1"/>
    <col min="9" max="9" width="8.85546875" customWidth="1"/>
    <col min="10" max="10" width="11.140625" customWidth="1"/>
    <col min="11" max="11" width="13.5703125" customWidth="1"/>
    <col min="12" max="12" width="10.28515625" customWidth="1"/>
    <col min="13" max="13" width="10.42578125" customWidth="1"/>
    <col min="14" max="14" width="14.140625" customWidth="1"/>
    <col min="15" max="15" width="13.7109375" customWidth="1"/>
    <col min="16" max="16" width="12.5703125" customWidth="1"/>
    <col min="17" max="17" width="12.42578125" customWidth="1"/>
    <col min="18" max="18" width="11" customWidth="1"/>
    <col min="19" max="19" width="13.42578125" customWidth="1"/>
    <col min="20" max="20" width="12.85546875" customWidth="1"/>
  </cols>
  <sheetData>
    <row r="1" spans="1:20" ht="21" x14ac:dyDescent="0.35">
      <c r="A1" s="193" t="s">
        <v>46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ht="21" x14ac:dyDescent="0.3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0" ht="15.75" x14ac:dyDescent="0.25">
      <c r="A3" s="201"/>
      <c r="B3" s="201"/>
      <c r="C3" s="201"/>
      <c r="D3" s="201"/>
      <c r="E3" s="201"/>
      <c r="F3" s="201"/>
      <c r="G3" s="201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ht="15.75" x14ac:dyDescent="0.25">
      <c r="A4" s="198" t="s">
        <v>70</v>
      </c>
      <c r="B4" s="198"/>
      <c r="C4" s="198"/>
      <c r="D4" s="198"/>
      <c r="E4" s="198"/>
      <c r="F4" s="198"/>
      <c r="G4" s="140">
        <v>4.5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</row>
    <row r="5" spans="1:20" ht="15.75" x14ac:dyDescent="0.25">
      <c r="A5" s="204"/>
      <c r="B5" s="204"/>
      <c r="C5" s="204"/>
      <c r="D5" s="204"/>
      <c r="E5" s="204"/>
      <c r="F5" s="204"/>
      <c r="G5" s="205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</row>
    <row r="6" spans="1:20" ht="15.75" customHeight="1" x14ac:dyDescent="0.25">
      <c r="A6" s="204"/>
      <c r="B6" s="204"/>
      <c r="C6" s="204"/>
      <c r="D6" s="208" t="s">
        <v>82</v>
      </c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  <c r="T6" s="209"/>
    </row>
    <row r="7" spans="1:20" ht="15.75" customHeight="1" x14ac:dyDescent="0.25">
      <c r="A7" s="204"/>
      <c r="B7" s="204"/>
      <c r="C7" s="204"/>
      <c r="D7" s="210" t="s">
        <v>25</v>
      </c>
      <c r="E7" s="210" t="s">
        <v>26</v>
      </c>
      <c r="F7" s="210" t="s">
        <v>27</v>
      </c>
      <c r="G7" s="205"/>
      <c r="H7" s="211" t="s">
        <v>28</v>
      </c>
      <c r="I7" s="211" t="s">
        <v>29</v>
      </c>
      <c r="J7" s="211" t="s">
        <v>30</v>
      </c>
      <c r="K7" s="203"/>
      <c r="L7" s="211" t="s">
        <v>83</v>
      </c>
      <c r="M7" s="211" t="s">
        <v>84</v>
      </c>
      <c r="N7" s="203"/>
      <c r="O7" s="211" t="s">
        <v>85</v>
      </c>
      <c r="P7" s="211" t="s">
        <v>86</v>
      </c>
      <c r="Q7" s="211" t="s">
        <v>80</v>
      </c>
      <c r="R7" s="211" t="s">
        <v>81</v>
      </c>
      <c r="S7" s="203"/>
      <c r="T7" s="203"/>
    </row>
    <row r="8" spans="1:20" ht="15.75" customHeight="1" x14ac:dyDescent="0.25">
      <c r="A8" s="204"/>
      <c r="B8" s="204"/>
      <c r="C8" s="204"/>
      <c r="D8" s="206"/>
      <c r="E8" s="206"/>
      <c r="F8" s="206"/>
      <c r="G8" s="205"/>
      <c r="H8" s="202">
        <v>1</v>
      </c>
      <c r="I8" s="202">
        <v>1</v>
      </c>
      <c r="J8" s="202">
        <v>1</v>
      </c>
      <c r="K8" s="203"/>
      <c r="L8" s="202"/>
      <c r="M8" s="202"/>
      <c r="N8" s="203"/>
      <c r="O8" s="202"/>
      <c r="P8" s="202"/>
      <c r="Q8" s="202">
        <v>1</v>
      </c>
      <c r="R8" s="202">
        <v>2</v>
      </c>
      <c r="S8" s="203"/>
      <c r="T8" s="203"/>
    </row>
    <row r="9" spans="1:20" ht="15" customHeight="1" thickBot="1" x14ac:dyDescent="0.3"/>
    <row r="10" spans="1:20" ht="82.5" customHeight="1" x14ac:dyDescent="0.25">
      <c r="A10" s="2" t="s">
        <v>64</v>
      </c>
      <c r="B10" s="65" t="s">
        <v>65</v>
      </c>
      <c r="C10" s="98" t="s">
        <v>0</v>
      </c>
      <c r="D10" s="70" t="s">
        <v>25</v>
      </c>
      <c r="E10" s="1" t="s">
        <v>26</v>
      </c>
      <c r="F10" s="1" t="s">
        <v>27</v>
      </c>
      <c r="G10" s="71" t="s">
        <v>60</v>
      </c>
      <c r="H10" s="70" t="s">
        <v>28</v>
      </c>
      <c r="I10" s="1" t="s">
        <v>29</v>
      </c>
      <c r="J10" s="1" t="s">
        <v>30</v>
      </c>
      <c r="K10" s="71" t="s">
        <v>61</v>
      </c>
      <c r="L10" s="70" t="s">
        <v>83</v>
      </c>
      <c r="M10" s="1" t="s">
        <v>84</v>
      </c>
      <c r="N10" s="71" t="s">
        <v>62</v>
      </c>
      <c r="O10" s="65" t="s">
        <v>85</v>
      </c>
      <c r="P10" s="3" t="s">
        <v>86</v>
      </c>
      <c r="Q10" s="3" t="s">
        <v>80</v>
      </c>
      <c r="R10" s="3" t="s">
        <v>81</v>
      </c>
      <c r="S10" s="71" t="s">
        <v>63</v>
      </c>
      <c r="T10" s="146" t="s">
        <v>4</v>
      </c>
    </row>
    <row r="11" spans="1:20" ht="17.25" customHeight="1" x14ac:dyDescent="0.25">
      <c r="A11" s="143" t="s">
        <v>66</v>
      </c>
      <c r="B11" s="68">
        <v>1</v>
      </c>
      <c r="C11" s="78">
        <v>2</v>
      </c>
      <c r="D11" s="68">
        <v>3</v>
      </c>
      <c r="E11" s="75">
        <v>4</v>
      </c>
      <c r="F11" s="11">
        <v>5</v>
      </c>
      <c r="G11" s="78">
        <v>6</v>
      </c>
      <c r="H11" s="68">
        <v>7</v>
      </c>
      <c r="I11" s="75">
        <v>8</v>
      </c>
      <c r="J11" s="11">
        <v>9</v>
      </c>
      <c r="K11" s="78">
        <v>10</v>
      </c>
      <c r="L11" s="68">
        <v>11</v>
      </c>
      <c r="M11" s="75">
        <v>12</v>
      </c>
      <c r="N11" s="145">
        <v>13</v>
      </c>
      <c r="O11" s="77">
        <v>14</v>
      </c>
      <c r="P11" s="11">
        <v>15</v>
      </c>
      <c r="Q11" s="75">
        <v>16</v>
      </c>
      <c r="R11" s="11">
        <v>17</v>
      </c>
      <c r="S11" s="78">
        <v>18</v>
      </c>
      <c r="T11" s="147">
        <v>19</v>
      </c>
    </row>
    <row r="12" spans="1:20" ht="25.5" x14ac:dyDescent="0.25">
      <c r="A12" s="90" t="s">
        <v>16</v>
      </c>
      <c r="B12" s="105">
        <v>88</v>
      </c>
      <c r="C12" s="104">
        <v>8</v>
      </c>
      <c r="D12" s="68">
        <v>21</v>
      </c>
      <c r="E12" s="11">
        <v>20</v>
      </c>
      <c r="F12" s="11">
        <v>23</v>
      </c>
      <c r="G12" s="86">
        <f t="shared" ref="G12:G17" si="0">ROUND((B12*$G$4*C12*D12),2)+ROUND((B12*$G$4*C12*E12),2)+ROUND((B12*$G$4*C12*F12),2)</f>
        <v>202752</v>
      </c>
      <c r="H12" s="68">
        <v>19</v>
      </c>
      <c r="I12" s="11">
        <v>21</v>
      </c>
      <c r="J12" s="11">
        <v>20</v>
      </c>
      <c r="K12" s="86">
        <f>ROUND((B12*$G$4*C12*H12),2)+ROUND((B12*$G$4*C12*I12),2)+ROUND((B12*$G$4*C12*J12),2)-ROUND((SUM(H8:J8)*B12*$G$4),2)</f>
        <v>188892</v>
      </c>
      <c r="L12" s="68">
        <v>21</v>
      </c>
      <c r="M12" s="11">
        <v>23</v>
      </c>
      <c r="N12" s="86">
        <f t="shared" ref="N12:N17" si="1">ROUND((B12*$G$4*C12*L12),2)+ROUND((B12*$G$4*C12*M12),2)</f>
        <v>139392</v>
      </c>
      <c r="O12" s="68">
        <v>22</v>
      </c>
      <c r="P12" s="11">
        <v>21</v>
      </c>
      <c r="Q12" s="11">
        <v>21</v>
      </c>
      <c r="R12" s="11">
        <v>21</v>
      </c>
      <c r="S12" s="86">
        <f>ROUND((B12*$G$4*C12*O12),2)+ROUND((B12*$G$4*C12*P12),2)+ROUND((B12*$G$4*C12*Q12),2)+ROUND((B12*$G$4*C12*R12),2)-ROUND((SUM(O8:R8)*G4*B12),2)</f>
        <v>268092</v>
      </c>
      <c r="T12" s="114">
        <f t="shared" ref="T12:T17" si="2">G12+K12+N12+S12</f>
        <v>799128</v>
      </c>
    </row>
    <row r="13" spans="1:20" x14ac:dyDescent="0.25">
      <c r="A13" s="91" t="s">
        <v>17</v>
      </c>
      <c r="B13" s="103">
        <v>33</v>
      </c>
      <c r="C13" s="104">
        <v>8</v>
      </c>
      <c r="D13" s="68">
        <v>21</v>
      </c>
      <c r="E13" s="8">
        <v>15</v>
      </c>
      <c r="F13" s="8">
        <v>18</v>
      </c>
      <c r="G13" s="86">
        <f t="shared" si="0"/>
        <v>64152</v>
      </c>
      <c r="H13" s="68">
        <v>19</v>
      </c>
      <c r="I13" s="11">
        <v>21</v>
      </c>
      <c r="J13" s="8">
        <v>0</v>
      </c>
      <c r="K13" s="86">
        <f>ROUND((B13*$G$4*C13*H13),2)+ROUND((B13*$G$4*C13*I13),2)+ROUND((B13*$G$4*C13*J13),2)-ROUND((SUM(H8:I8)*B13*$G$4),2)</f>
        <v>47223</v>
      </c>
      <c r="L13" s="74">
        <v>0</v>
      </c>
      <c r="M13" s="8">
        <v>0</v>
      </c>
      <c r="N13" s="86">
        <f t="shared" si="1"/>
        <v>0</v>
      </c>
      <c r="O13" s="68">
        <v>22</v>
      </c>
      <c r="P13" s="8">
        <v>16</v>
      </c>
      <c r="Q13" s="11">
        <v>21</v>
      </c>
      <c r="R13" s="8">
        <v>17</v>
      </c>
      <c r="S13" s="86">
        <f>ROUND((B13*$G$4*C13*O13),2)+ROUND((B13*$G$4*C13*P13),2)+ROUND((B13*$G$4*C13*Q13),2)+ROUND((B13*$G$4*C13*R13),2)-ROUND((Q8*G4*B13),2)</f>
        <v>90139.5</v>
      </c>
      <c r="T13" s="114">
        <f t="shared" si="2"/>
        <v>201514.5</v>
      </c>
    </row>
    <row r="14" spans="1:20" ht="20.25" customHeight="1" x14ac:dyDescent="0.25">
      <c r="A14" s="144" t="s">
        <v>18</v>
      </c>
      <c r="B14" s="105">
        <f>153+30</f>
        <v>183</v>
      </c>
      <c r="C14" s="104">
        <v>8</v>
      </c>
      <c r="D14" s="68">
        <v>21</v>
      </c>
      <c r="E14" s="8">
        <v>20</v>
      </c>
      <c r="F14" s="8">
        <v>18</v>
      </c>
      <c r="G14" s="86">
        <f t="shared" si="0"/>
        <v>388692</v>
      </c>
      <c r="H14" s="68">
        <v>19</v>
      </c>
      <c r="I14" s="11">
        <v>21</v>
      </c>
      <c r="J14" s="8">
        <v>0</v>
      </c>
      <c r="K14" s="86">
        <f>ROUND((B14*$G$4*C14*H14),2)+ROUND((B14*$G$4*C14*I14),2)+ROUND((B14*$G$4*C14*J14),2)-ROUND((SUM(H8:I8)*$G$4*B14),2)</f>
        <v>261873</v>
      </c>
      <c r="L14" s="74">
        <v>0</v>
      </c>
      <c r="M14" s="8">
        <v>0</v>
      </c>
      <c r="N14" s="86">
        <f t="shared" si="1"/>
        <v>0</v>
      </c>
      <c r="O14" s="68">
        <v>22</v>
      </c>
      <c r="P14" s="8">
        <v>16</v>
      </c>
      <c r="Q14" s="11">
        <v>21</v>
      </c>
      <c r="R14" s="8">
        <v>17</v>
      </c>
      <c r="S14" s="86">
        <f>ROUND((B14*$G$4*C14*O14),2)+ROUND((B14*$G$4*C14*P14),2)+ROUND((B14*$G$4*C14*Q14),2)+ROUND((B14*$G$4*C14*R14),2)-ROUND((Q8*G4*B14),2)</f>
        <v>499864.5</v>
      </c>
      <c r="T14" s="114">
        <f t="shared" si="2"/>
        <v>1150429.5</v>
      </c>
    </row>
    <row r="15" spans="1:20" x14ac:dyDescent="0.25">
      <c r="A15" s="91" t="s">
        <v>19</v>
      </c>
      <c r="B15" s="103">
        <v>11</v>
      </c>
      <c r="C15" s="104">
        <v>8</v>
      </c>
      <c r="D15" s="68">
        <v>21</v>
      </c>
      <c r="E15" s="8">
        <v>20</v>
      </c>
      <c r="F15" s="8">
        <v>18</v>
      </c>
      <c r="G15" s="86">
        <f t="shared" si="0"/>
        <v>23364</v>
      </c>
      <c r="H15" s="68">
        <v>19</v>
      </c>
      <c r="I15" s="11">
        <v>21</v>
      </c>
      <c r="J15" s="8">
        <v>8</v>
      </c>
      <c r="K15" s="86">
        <f>ROUND((B15*$G$4*C15*H15),2)+ROUND((B15*$G$4*C15*I15),2)+ROUND((B15*$G$4*C15*J15),2)-ROUND((SUM(H8:I8)*G4*B15),2)</f>
        <v>18909</v>
      </c>
      <c r="L15" s="74">
        <v>0</v>
      </c>
      <c r="M15" s="8">
        <v>0</v>
      </c>
      <c r="N15" s="86">
        <f t="shared" si="1"/>
        <v>0</v>
      </c>
      <c r="O15" s="68">
        <v>22</v>
      </c>
      <c r="P15" s="8">
        <v>16</v>
      </c>
      <c r="Q15" s="11">
        <v>21</v>
      </c>
      <c r="R15" s="8">
        <v>17</v>
      </c>
      <c r="S15" s="86">
        <f>ROUND((B15*$G$4*C15*O15),2)+ROUND((B15*$G$4*C15*P15),2)+ROUND((B15*$G$4*C15*Q15),2)+ROUND((B15*$G$4*C15*R15),2)-ROUND((Q8*G4*B15),2)</f>
        <v>30046.5</v>
      </c>
      <c r="T15" s="114">
        <f t="shared" si="2"/>
        <v>72319.5</v>
      </c>
    </row>
    <row r="16" spans="1:20" x14ac:dyDescent="0.25">
      <c r="A16" s="91" t="s">
        <v>20</v>
      </c>
      <c r="B16" s="103">
        <v>3</v>
      </c>
      <c r="C16" s="104">
        <v>8</v>
      </c>
      <c r="D16" s="68">
        <v>21</v>
      </c>
      <c r="E16" s="8">
        <v>20</v>
      </c>
      <c r="F16" s="8">
        <v>18</v>
      </c>
      <c r="G16" s="86">
        <f t="shared" si="0"/>
        <v>6372</v>
      </c>
      <c r="H16" s="68">
        <v>19</v>
      </c>
      <c r="I16" s="11">
        <v>21</v>
      </c>
      <c r="J16" s="8">
        <v>13</v>
      </c>
      <c r="K16" s="86">
        <f>ROUND((B16*$G$4*C16*H16),2)+ROUND((B16*$G$4*C16*I16),2)+ROUND((B16*$G$4*C16*J16),2)-ROUND((SUM(H8:I8)*G4*B16),2)</f>
        <v>5697</v>
      </c>
      <c r="L16" s="74">
        <v>0</v>
      </c>
      <c r="M16" s="8">
        <v>0</v>
      </c>
      <c r="N16" s="86">
        <f t="shared" si="1"/>
        <v>0</v>
      </c>
      <c r="O16" s="68">
        <v>22</v>
      </c>
      <c r="P16" s="8">
        <v>16</v>
      </c>
      <c r="Q16" s="11">
        <v>21</v>
      </c>
      <c r="R16" s="8">
        <v>17</v>
      </c>
      <c r="S16" s="86">
        <f>ROUND((B16*$G$4*C16*O16),2)+ROUND((B16*$G$4*C16*P16),2)+ROUND((B16*$G$4*C16*Q16),2)+ROUND((B16*$G$4*C16*R16),2)-ROUND((Q8*G4*B16),2)</f>
        <v>8194.5</v>
      </c>
      <c r="T16" s="114">
        <f t="shared" si="2"/>
        <v>20263.5</v>
      </c>
    </row>
    <row r="17" spans="1:20" x14ac:dyDescent="0.25">
      <c r="A17" s="91" t="s">
        <v>21</v>
      </c>
      <c r="B17" s="103">
        <v>4</v>
      </c>
      <c r="C17" s="104">
        <v>8</v>
      </c>
      <c r="D17" s="74">
        <f>D12</f>
        <v>21</v>
      </c>
      <c r="E17" s="8">
        <f>E12</f>
        <v>20</v>
      </c>
      <c r="F17" s="8">
        <f>F12</f>
        <v>23</v>
      </c>
      <c r="G17" s="86">
        <f t="shared" si="0"/>
        <v>9216</v>
      </c>
      <c r="H17" s="68">
        <f>H12</f>
        <v>19</v>
      </c>
      <c r="I17" s="11">
        <f>I12</f>
        <v>21</v>
      </c>
      <c r="J17" s="11">
        <f>J12</f>
        <v>20</v>
      </c>
      <c r="K17" s="86">
        <f>ROUND((B17*$G$4*C17*H17),2)+ROUND((B17*$G$4*C17*I17),2)+ROUND((B17*$G$4*C17*J17),2)-ROUND((SUM(H8:J8)*G4*B17),2)</f>
        <v>8586</v>
      </c>
      <c r="L17" s="68">
        <f>L12</f>
        <v>21</v>
      </c>
      <c r="M17" s="11">
        <f>M12</f>
        <v>23</v>
      </c>
      <c r="N17" s="86">
        <f t="shared" si="1"/>
        <v>6336</v>
      </c>
      <c r="O17" s="68">
        <f>O12</f>
        <v>22</v>
      </c>
      <c r="P17" s="11">
        <f>P12</f>
        <v>21</v>
      </c>
      <c r="Q17" s="11">
        <f>Q12</f>
        <v>21</v>
      </c>
      <c r="R17" s="11">
        <f>R12</f>
        <v>21</v>
      </c>
      <c r="S17" s="86">
        <f>ROUND((B17*$G$4*C17*O17),2)+ROUND((B17*$G$4*C17*P17),2)+ROUND((B17*$G$4*C17*Q17),2)+ROUND((B17*$G$4*C17*R17),2)-ROUND((SUM(O8:R8)*G4*B17),2)</f>
        <v>12186</v>
      </c>
      <c r="T17" s="114">
        <f t="shared" si="2"/>
        <v>36324</v>
      </c>
    </row>
    <row r="18" spans="1:20" s="37" customFormat="1" x14ac:dyDescent="0.25">
      <c r="A18" s="92" t="s">
        <v>22</v>
      </c>
      <c r="B18" s="106"/>
      <c r="C18" s="107"/>
      <c r="D18" s="80"/>
      <c r="E18" s="76"/>
      <c r="F18" s="76"/>
      <c r="G18" s="24"/>
      <c r="H18" s="80"/>
      <c r="I18" s="76"/>
      <c r="J18" s="76"/>
      <c r="K18" s="87"/>
      <c r="L18" s="80"/>
      <c r="M18" s="76"/>
      <c r="N18" s="87"/>
      <c r="O18" s="80"/>
      <c r="P18" s="76"/>
      <c r="Q18" s="76"/>
      <c r="R18" s="76"/>
      <c r="S18" s="87"/>
      <c r="T18" s="64"/>
    </row>
    <row r="19" spans="1:20" ht="25.5" x14ac:dyDescent="0.25">
      <c r="A19" s="90" t="s">
        <v>23</v>
      </c>
      <c r="B19" s="108">
        <v>22</v>
      </c>
      <c r="C19" s="104">
        <v>8</v>
      </c>
      <c r="D19" s="68">
        <f t="shared" ref="D19:F23" si="3">D12</f>
        <v>21</v>
      </c>
      <c r="E19" s="11">
        <f t="shared" si="3"/>
        <v>20</v>
      </c>
      <c r="F19" s="11">
        <f t="shared" si="3"/>
        <v>23</v>
      </c>
      <c r="G19" s="86">
        <f>ROUND((B19*$G$4*C19*D19),2)+ROUND((B19*$G$4*C19*E19),2)+ROUND((B19*$G$4*C19*F19),2)</f>
        <v>50688</v>
      </c>
      <c r="H19" s="68">
        <f t="shared" ref="H19:J23" si="4">H12</f>
        <v>19</v>
      </c>
      <c r="I19" s="11">
        <f t="shared" si="4"/>
        <v>21</v>
      </c>
      <c r="J19" s="11">
        <f t="shared" si="4"/>
        <v>20</v>
      </c>
      <c r="K19" s="86">
        <f>ROUND((B19*$G$4*C19*H19),2)+ROUND((B19*$G$4*C19*I19),2)+ROUND((B19*$G$4*C19*J19),2)-ROUND((SUM(H8:J8)*G4*B19),2)</f>
        <v>47223</v>
      </c>
      <c r="L19" s="68">
        <f t="shared" ref="L19:M23" si="5">L12</f>
        <v>21</v>
      </c>
      <c r="M19" s="11">
        <f t="shared" si="5"/>
        <v>23</v>
      </c>
      <c r="N19" s="86">
        <f>ROUND((B19*$G$4*C19*L19),2)+ROUND((B19*$G$4*C19*M19),2)</f>
        <v>34848</v>
      </c>
      <c r="O19" s="68">
        <f t="shared" ref="O19:R23" si="6">O12</f>
        <v>22</v>
      </c>
      <c r="P19" s="11">
        <f t="shared" si="6"/>
        <v>21</v>
      </c>
      <c r="Q19" s="11">
        <f t="shared" si="6"/>
        <v>21</v>
      </c>
      <c r="R19" s="11">
        <f t="shared" si="6"/>
        <v>21</v>
      </c>
      <c r="S19" s="86">
        <f>ROUND((B19*$G$4*C19*O19),2)+ROUND((B19*$G$4*C19*P19),2)+ROUND((B19*$G$4*C19*Q19),2)+ROUND((B19*$G$4*C19*R19),2)-ROUND((SUM(O8:R8)*G4*B19),2)</f>
        <v>67023</v>
      </c>
      <c r="T19" s="114">
        <f>G19+K19+N19+S19</f>
        <v>199782</v>
      </c>
    </row>
    <row r="20" spans="1:20" x14ac:dyDescent="0.25">
      <c r="A20" s="91" t="s">
        <v>17</v>
      </c>
      <c r="B20" s="103">
        <v>3</v>
      </c>
      <c r="C20" s="104">
        <v>8</v>
      </c>
      <c r="D20" s="68">
        <f t="shared" si="3"/>
        <v>21</v>
      </c>
      <c r="E20" s="11">
        <f t="shared" si="3"/>
        <v>15</v>
      </c>
      <c r="F20" s="11">
        <f t="shared" si="3"/>
        <v>18</v>
      </c>
      <c r="G20" s="86">
        <f>ROUND((B20*$G$4*C20*D20),2)+ROUND((B20*$G$4*C20*E20),2)+ROUND((B20*$G$4*C20*F20),2)</f>
        <v>5832</v>
      </c>
      <c r="H20" s="68">
        <f t="shared" si="4"/>
        <v>19</v>
      </c>
      <c r="I20" s="11">
        <f t="shared" si="4"/>
        <v>21</v>
      </c>
      <c r="J20" s="11">
        <f t="shared" si="4"/>
        <v>0</v>
      </c>
      <c r="K20" s="86">
        <f>ROUND((B20*$G$4*C20*H20),2)+ROUND((B20*$G$4*C20*I20),2)+ROUND((B20*$G$4*C20*J20),2)-ROUND((SUM(H8:I8)*G4*B20),2)</f>
        <v>4293</v>
      </c>
      <c r="L20" s="68">
        <f t="shared" si="5"/>
        <v>0</v>
      </c>
      <c r="M20" s="11">
        <f t="shared" si="5"/>
        <v>0</v>
      </c>
      <c r="N20" s="86">
        <f>ROUND((B20*$G$4*C20*L20),2)+ROUND((B20*$G$4*C20*M20),2)</f>
        <v>0</v>
      </c>
      <c r="O20" s="68">
        <f t="shared" si="6"/>
        <v>22</v>
      </c>
      <c r="P20" s="11">
        <f t="shared" si="6"/>
        <v>16</v>
      </c>
      <c r="Q20" s="11">
        <f t="shared" si="6"/>
        <v>21</v>
      </c>
      <c r="R20" s="11">
        <f t="shared" si="6"/>
        <v>17</v>
      </c>
      <c r="S20" s="86">
        <f>ROUND((B20*$G$4*C20*O20),2)+ROUND((B20*$G$4*C20*P20),2)+ROUND((B20*$G$4*C20*Q20),2)+ROUND((B20*$G$4*C20*R20),2)-ROUND((Q8*G4*B20),2)</f>
        <v>8194.5</v>
      </c>
      <c r="T20" s="114">
        <f>G20+K20+N20+S20</f>
        <v>18319.5</v>
      </c>
    </row>
    <row r="21" spans="1:20" ht="30" x14ac:dyDescent="0.25">
      <c r="A21" s="91" t="s">
        <v>18</v>
      </c>
      <c r="B21" s="103">
        <v>15</v>
      </c>
      <c r="C21" s="104">
        <v>8</v>
      </c>
      <c r="D21" s="68">
        <f t="shared" si="3"/>
        <v>21</v>
      </c>
      <c r="E21" s="11">
        <f t="shared" si="3"/>
        <v>20</v>
      </c>
      <c r="F21" s="11">
        <f t="shared" si="3"/>
        <v>18</v>
      </c>
      <c r="G21" s="86">
        <f>ROUND((B21*$G$4*C21*D21),2)+ROUND((B21*$G$4*C21*E21),2)+ROUND((B21*$G$4*C21*F21),2)</f>
        <v>31860</v>
      </c>
      <c r="H21" s="68">
        <f t="shared" si="4"/>
        <v>19</v>
      </c>
      <c r="I21" s="11">
        <f t="shared" si="4"/>
        <v>21</v>
      </c>
      <c r="J21" s="11">
        <f t="shared" si="4"/>
        <v>0</v>
      </c>
      <c r="K21" s="86">
        <f>ROUND((B21*$G$4*C21*H21),2)+ROUND((B21*$G$4*C21*I21),2)+ROUND((B21*$G$4*C21*J21),2)-ROUND((SUM(H8:I8)*G4*B21),2)</f>
        <v>21465</v>
      </c>
      <c r="L21" s="68">
        <f t="shared" si="5"/>
        <v>0</v>
      </c>
      <c r="M21" s="11">
        <f t="shared" si="5"/>
        <v>0</v>
      </c>
      <c r="N21" s="86">
        <f>ROUND((B21*$G$4*C21*L21),2)+ROUND((B21*$G$4*C21*M21),2)</f>
        <v>0</v>
      </c>
      <c r="O21" s="68">
        <f t="shared" si="6"/>
        <v>22</v>
      </c>
      <c r="P21" s="11">
        <f t="shared" si="6"/>
        <v>16</v>
      </c>
      <c r="Q21" s="11">
        <f t="shared" si="6"/>
        <v>21</v>
      </c>
      <c r="R21" s="11">
        <f t="shared" si="6"/>
        <v>17</v>
      </c>
      <c r="S21" s="86">
        <f>ROUND((B21*$G$4*C21*O21),2)+ROUND((B21*$G$4*C21*P21),2)+ROUND((B21*$G$4*C21*Q21),2)+ROUND((B21*$G$4*C21*R21),2)-ROUND((Q8*G4*B21),2)</f>
        <v>40972.5</v>
      </c>
      <c r="T21" s="114">
        <f>G21+K21+N21+S21</f>
        <v>94297.5</v>
      </c>
    </row>
    <row r="22" spans="1:20" x14ac:dyDescent="0.25">
      <c r="A22" s="91" t="s">
        <v>19</v>
      </c>
      <c r="B22" s="103"/>
      <c r="C22" s="104">
        <v>8</v>
      </c>
      <c r="D22" s="68">
        <f t="shared" si="3"/>
        <v>21</v>
      </c>
      <c r="E22" s="11">
        <f t="shared" si="3"/>
        <v>20</v>
      </c>
      <c r="F22" s="11">
        <f t="shared" si="3"/>
        <v>18</v>
      </c>
      <c r="G22" s="86">
        <f>ROUND((B22*$G$4*C22*D22),2)+ROUND((B22*$G$4*C22*E22),2)+ROUND((B22*$G$4*C22*F22),2)</f>
        <v>0</v>
      </c>
      <c r="H22" s="68">
        <f t="shared" si="4"/>
        <v>19</v>
      </c>
      <c r="I22" s="11">
        <f t="shared" si="4"/>
        <v>21</v>
      </c>
      <c r="J22" s="11">
        <f t="shared" si="4"/>
        <v>8</v>
      </c>
      <c r="K22" s="86">
        <f>ROUND((B22*$G$4*C22*H22),2)+ROUND((B22*$G$4*C22*I22),2)+ROUND((B22*$G$4*C22*J22),2)</f>
        <v>0</v>
      </c>
      <c r="L22" s="68">
        <f t="shared" si="5"/>
        <v>0</v>
      </c>
      <c r="M22" s="11">
        <f t="shared" si="5"/>
        <v>0</v>
      </c>
      <c r="N22" s="86">
        <f>ROUND((B22*$G$4*C22*L22),2)+ROUND((B22*$G$4*C22*M22),2)</f>
        <v>0</v>
      </c>
      <c r="O22" s="68">
        <f t="shared" si="6"/>
        <v>22</v>
      </c>
      <c r="P22" s="11">
        <f t="shared" si="6"/>
        <v>16</v>
      </c>
      <c r="Q22" s="11">
        <f t="shared" si="6"/>
        <v>21</v>
      </c>
      <c r="R22" s="11">
        <f t="shared" si="6"/>
        <v>17</v>
      </c>
      <c r="S22" s="86">
        <f>ROUND((B22*$G$4*C22*O22),2)+ROUND((B22*$G$4*C22*P22),2)+ROUND((B22*$G$4*C22*Q22),2)+ROUND((B22*$G$4*C22*R22),2)</f>
        <v>0</v>
      </c>
      <c r="T22" s="114">
        <f>G22+K22+N22+S22</f>
        <v>0</v>
      </c>
    </row>
    <row r="23" spans="1:20" ht="15.75" thickBot="1" x14ac:dyDescent="0.3">
      <c r="A23" s="93" t="s">
        <v>20</v>
      </c>
      <c r="B23" s="109"/>
      <c r="C23" s="72">
        <v>8</v>
      </c>
      <c r="D23" s="69">
        <f t="shared" si="3"/>
        <v>21</v>
      </c>
      <c r="E23" s="82">
        <f t="shared" si="3"/>
        <v>20</v>
      </c>
      <c r="F23" s="82">
        <f t="shared" si="3"/>
        <v>18</v>
      </c>
      <c r="G23" s="88">
        <f>ROUND((B23*$G$4*C23*D23),2)+ROUND((B23*$G$4*C23*E23),2)+ROUND((B23*$G$4*C23*F23),2)</f>
        <v>0</v>
      </c>
      <c r="H23" s="69">
        <f t="shared" si="4"/>
        <v>19</v>
      </c>
      <c r="I23" s="82">
        <f t="shared" si="4"/>
        <v>21</v>
      </c>
      <c r="J23" s="82">
        <f t="shared" si="4"/>
        <v>13</v>
      </c>
      <c r="K23" s="88">
        <f>ROUND((B23*$G$4*C23*H23),2)+ROUND((B23*$G$4*C23*I23),2)+ROUND((B23*$G$4*C23*J23),2)</f>
        <v>0</v>
      </c>
      <c r="L23" s="69">
        <f t="shared" si="5"/>
        <v>0</v>
      </c>
      <c r="M23" s="82">
        <f t="shared" si="5"/>
        <v>0</v>
      </c>
      <c r="N23" s="88">
        <f>ROUND((B23*$G$4*C23*L23),2)+ROUND((B23*$G$4*C23*M23),2)</f>
        <v>0</v>
      </c>
      <c r="O23" s="69">
        <f t="shared" si="6"/>
        <v>22</v>
      </c>
      <c r="P23" s="82">
        <f t="shared" si="6"/>
        <v>16</v>
      </c>
      <c r="Q23" s="82">
        <f t="shared" si="6"/>
        <v>21</v>
      </c>
      <c r="R23" s="82">
        <f t="shared" si="6"/>
        <v>17</v>
      </c>
      <c r="S23" s="88">
        <f>ROUND((B23*$G$4*C23*O23),2)+ROUND((B23*$G$4*C23*P23),2)+ROUND((B23*$G$4*C23*Q23),2)+ROUND((B23*$G$4*C23*R23),2)</f>
        <v>0</v>
      </c>
      <c r="T23" s="116">
        <f>G23+K23+N23+S23</f>
        <v>0</v>
      </c>
    </row>
    <row r="24" spans="1:20" ht="19.5" thickBot="1" x14ac:dyDescent="0.35">
      <c r="B24" s="13">
        <f>SUM(B12:B23)</f>
        <v>362</v>
      </c>
      <c r="G24" s="14">
        <f>SUM(G12:G23)</f>
        <v>782928</v>
      </c>
      <c r="K24" s="14">
        <f>SUM(K12:K23)</f>
        <v>604161</v>
      </c>
      <c r="N24" s="14">
        <f>SUM(N12:N23)</f>
        <v>180576</v>
      </c>
      <c r="S24" s="14">
        <f>SUM(S12:S23)</f>
        <v>1024713</v>
      </c>
      <c r="T24" s="117">
        <f>SUM(T12:T23)</f>
        <v>2592378</v>
      </c>
    </row>
    <row r="25" spans="1:20" ht="18.75" x14ac:dyDescent="0.3">
      <c r="B25" s="13"/>
      <c r="G25" s="14"/>
      <c r="K25" s="14"/>
      <c r="N25" s="14"/>
      <c r="S25" s="14"/>
      <c r="T25" s="15"/>
    </row>
    <row r="26" spans="1:20" x14ac:dyDescent="0.25">
      <c r="B26" s="19"/>
      <c r="C26" s="123"/>
      <c r="D26" s="139"/>
      <c r="E26" s="139"/>
      <c r="F26" s="139"/>
      <c r="G26" s="138"/>
      <c r="H26" s="62"/>
      <c r="I26" s="34"/>
      <c r="J26" s="29"/>
      <c r="K26" s="29"/>
    </row>
    <row r="27" spans="1:20" ht="90" x14ac:dyDescent="0.25">
      <c r="B27" s="19"/>
      <c r="C27" s="137"/>
      <c r="D27" s="138"/>
      <c r="N27" s="45"/>
      <c r="O27" s="16" t="s">
        <v>32</v>
      </c>
      <c r="P27" s="16" t="s">
        <v>31</v>
      </c>
      <c r="Q27" s="31" t="s">
        <v>34</v>
      </c>
      <c r="R27" s="16" t="s">
        <v>39</v>
      </c>
      <c r="S27" s="16" t="s">
        <v>40</v>
      </c>
      <c r="T27" s="16" t="s">
        <v>33</v>
      </c>
    </row>
    <row r="28" spans="1:20" ht="23.25" customHeight="1" x14ac:dyDescent="0.25">
      <c r="B28" s="19"/>
      <c r="C28" s="122"/>
      <c r="D28" s="138"/>
      <c r="L28" s="56"/>
      <c r="M28" s="56"/>
      <c r="N28" s="46"/>
      <c r="O28" s="11">
        <v>1</v>
      </c>
      <c r="P28" s="11">
        <v>2</v>
      </c>
      <c r="Q28" s="11">
        <v>3</v>
      </c>
      <c r="R28" s="11">
        <v>4</v>
      </c>
      <c r="S28" s="11" t="s">
        <v>68</v>
      </c>
      <c r="T28" s="54" t="s">
        <v>69</v>
      </c>
    </row>
    <row r="29" spans="1:20" ht="30" x14ac:dyDescent="0.25">
      <c r="B29" s="19"/>
      <c r="C29" s="122"/>
      <c r="D29" s="138"/>
      <c r="L29" s="47"/>
      <c r="M29" s="47"/>
      <c r="N29" s="59" t="s">
        <v>41</v>
      </c>
      <c r="O29" s="162">
        <v>1031876</v>
      </c>
      <c r="P29" s="188">
        <f>T24</f>
        <v>2592378</v>
      </c>
      <c r="Q29" s="135">
        <f>O29-P29</f>
        <v>-1560502</v>
      </c>
      <c r="R29" s="131">
        <v>0.75</v>
      </c>
      <c r="S29" s="132">
        <f>P29*R29</f>
        <v>1944283.5</v>
      </c>
      <c r="T29" s="133">
        <f>O29-S29</f>
        <v>-912407.5</v>
      </c>
    </row>
    <row r="30" spans="1:20" x14ac:dyDescent="0.25">
      <c r="B30" s="19"/>
      <c r="C30" s="123"/>
      <c r="D30" s="139"/>
      <c r="E30" s="139"/>
      <c r="F30" s="125"/>
      <c r="G30" s="138"/>
      <c r="I30" s="21"/>
      <c r="J30" s="15"/>
      <c r="M30" s="23"/>
      <c r="N30" s="44"/>
      <c r="O30" s="47"/>
      <c r="P30" s="47"/>
      <c r="Q30" s="49"/>
      <c r="R30" s="53"/>
      <c r="S30" s="53"/>
    </row>
    <row r="31" spans="1:20" ht="32.25" customHeight="1" x14ac:dyDescent="0.25">
      <c r="B31" s="19"/>
      <c r="C31" s="123"/>
      <c r="D31" s="138"/>
      <c r="E31" s="138"/>
      <c r="F31" s="126"/>
      <c r="G31" s="19"/>
      <c r="N31" s="51"/>
      <c r="O31" s="55"/>
    </row>
    <row r="32" spans="1:20" x14ac:dyDescent="0.25">
      <c r="B32" s="19"/>
      <c r="C32" s="19"/>
      <c r="D32" s="127"/>
      <c r="E32" s="128"/>
      <c r="F32" s="127"/>
      <c r="G32" s="127"/>
      <c r="N32" s="51"/>
      <c r="O32" s="55"/>
    </row>
    <row r="33" spans="2:14" x14ac:dyDescent="0.25">
      <c r="B33" s="19"/>
      <c r="C33" s="19"/>
      <c r="D33" s="127"/>
      <c r="E33" s="128"/>
      <c r="F33" s="127"/>
      <c r="G33" s="127"/>
      <c r="I33" s="23"/>
    </row>
    <row r="34" spans="2:14" x14ac:dyDescent="0.25">
      <c r="D34" s="25"/>
      <c r="E34" s="26"/>
      <c r="F34" s="25"/>
      <c r="G34" s="25"/>
      <c r="I34" s="23"/>
      <c r="N34" s="28"/>
    </row>
    <row r="35" spans="2:14" ht="15.75" x14ac:dyDescent="0.25">
      <c r="F35" s="37"/>
      <c r="I35" s="29"/>
      <c r="J35" s="197"/>
      <c r="K35" s="197"/>
      <c r="L35" s="197"/>
      <c r="M35" s="197"/>
      <c r="N35" s="30"/>
    </row>
    <row r="36" spans="2:14" x14ac:dyDescent="0.25">
      <c r="F36" s="37"/>
    </row>
  </sheetData>
  <mergeCells count="5">
    <mergeCell ref="A1:S1"/>
    <mergeCell ref="J35:M35"/>
    <mergeCell ref="A4:F4"/>
    <mergeCell ref="H3:T3"/>
    <mergeCell ref="D6:R6"/>
  </mergeCells>
  <pageMargins left="0.51181102362204722" right="0.51181102362204722" top="0.55118110236220474" bottom="0.55118110236220474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F19" workbookViewId="0">
      <selection activeCell="Q30" sqref="Q30"/>
    </sheetView>
  </sheetViews>
  <sheetFormatPr defaultRowHeight="15" x14ac:dyDescent="0.25"/>
  <cols>
    <col min="1" max="1" width="11.42578125" customWidth="1"/>
    <col min="2" max="2" width="9.140625" customWidth="1"/>
    <col min="3" max="3" width="7.85546875" customWidth="1"/>
    <col min="4" max="4" width="10.28515625" customWidth="1"/>
    <col min="5" max="5" width="11" customWidth="1"/>
    <col min="6" max="6" width="9.5703125" customWidth="1"/>
    <col min="7" max="7" width="14.85546875" customWidth="1"/>
    <col min="8" max="8" width="10.7109375" customWidth="1"/>
    <col min="9" max="9" width="9.42578125" customWidth="1"/>
    <col min="10" max="10" width="10.140625" customWidth="1"/>
    <col min="11" max="11" width="13.5703125" customWidth="1"/>
    <col min="12" max="12" width="9.5703125" customWidth="1"/>
    <col min="13" max="13" width="11.7109375" customWidth="1"/>
    <col min="14" max="14" width="14.85546875" customWidth="1"/>
    <col min="15" max="15" width="13.7109375" customWidth="1"/>
    <col min="16" max="16" width="13" customWidth="1"/>
    <col min="17" max="17" width="12.85546875" customWidth="1"/>
    <col min="18" max="18" width="10.28515625" customWidth="1"/>
    <col min="19" max="20" width="13.28515625" customWidth="1"/>
  </cols>
  <sheetData>
    <row r="1" spans="1:20" ht="21" x14ac:dyDescent="0.35">
      <c r="A1" s="193" t="s">
        <v>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ht="15.75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15.75" x14ac:dyDescent="0.25">
      <c r="A3" s="198" t="s">
        <v>70</v>
      </c>
      <c r="B3" s="198"/>
      <c r="C3" s="198"/>
      <c r="D3" s="198"/>
      <c r="E3" s="198"/>
      <c r="F3" s="198"/>
      <c r="G3" s="140">
        <v>4.5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5.75" x14ac:dyDescent="0.25">
      <c r="A4" s="204"/>
      <c r="B4" s="204"/>
      <c r="C4" s="204"/>
      <c r="D4" s="204"/>
      <c r="E4" s="204"/>
      <c r="F4" s="204"/>
      <c r="G4" s="205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1:20" ht="15.75" x14ac:dyDescent="0.25">
      <c r="A5" s="204"/>
      <c r="B5" s="204"/>
      <c r="C5" s="204"/>
      <c r="D5" s="208" t="s">
        <v>82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164"/>
      <c r="T5" s="164"/>
    </row>
    <row r="6" spans="1:20" ht="15.75" x14ac:dyDescent="0.25">
      <c r="A6" s="204"/>
      <c r="B6" s="204"/>
      <c r="C6" s="204"/>
      <c r="D6" s="210" t="s">
        <v>25</v>
      </c>
      <c r="E6" s="210" t="s">
        <v>26</v>
      </c>
      <c r="F6" s="210" t="s">
        <v>27</v>
      </c>
      <c r="G6" s="205"/>
      <c r="H6" s="211" t="s">
        <v>28</v>
      </c>
      <c r="I6" s="211" t="s">
        <v>29</v>
      </c>
      <c r="J6" s="211" t="s">
        <v>30</v>
      </c>
      <c r="K6" s="203"/>
      <c r="L6" s="211" t="s">
        <v>83</v>
      </c>
      <c r="M6" s="211" t="s">
        <v>84</v>
      </c>
      <c r="N6" s="203"/>
      <c r="O6" s="211" t="s">
        <v>85</v>
      </c>
      <c r="P6" s="211" t="s">
        <v>86</v>
      </c>
      <c r="Q6" s="211" t="s">
        <v>80</v>
      </c>
      <c r="R6" s="211" t="s">
        <v>81</v>
      </c>
      <c r="S6" s="164"/>
      <c r="T6" s="164"/>
    </row>
    <row r="7" spans="1:20" ht="15.75" x14ac:dyDescent="0.25">
      <c r="A7" s="204"/>
      <c r="B7" s="204"/>
      <c r="C7" s="204"/>
      <c r="D7" s="206"/>
      <c r="E7" s="206"/>
      <c r="F7" s="206"/>
      <c r="G7" s="205"/>
      <c r="H7" s="202">
        <v>1</v>
      </c>
      <c r="I7" s="202">
        <v>1</v>
      </c>
      <c r="J7" s="202">
        <v>1</v>
      </c>
      <c r="K7" s="203"/>
      <c r="L7" s="202"/>
      <c r="M7" s="202"/>
      <c r="N7" s="203"/>
      <c r="O7" s="202"/>
      <c r="P7" s="202"/>
      <c r="Q7" s="202">
        <v>1</v>
      </c>
      <c r="R7" s="202"/>
      <c r="S7" s="164"/>
      <c r="T7" s="164"/>
    </row>
    <row r="8" spans="1:20" ht="15" customHeight="1" thickBot="1" x14ac:dyDescent="0.3"/>
    <row r="9" spans="1:20" ht="82.5" customHeight="1" x14ac:dyDescent="0.25">
      <c r="A9" s="65" t="s">
        <v>64</v>
      </c>
      <c r="B9" s="3" t="s">
        <v>65</v>
      </c>
      <c r="C9" s="98" t="s">
        <v>0</v>
      </c>
      <c r="D9" s="70" t="s">
        <v>1</v>
      </c>
      <c r="E9" s="1" t="s">
        <v>2</v>
      </c>
      <c r="F9" s="1" t="s">
        <v>3</v>
      </c>
      <c r="G9" s="71" t="s">
        <v>71</v>
      </c>
      <c r="H9" s="70" t="s">
        <v>6</v>
      </c>
      <c r="I9" s="1" t="s">
        <v>7</v>
      </c>
      <c r="J9" s="1" t="s">
        <v>8</v>
      </c>
      <c r="K9" s="71" t="s">
        <v>72</v>
      </c>
      <c r="L9" s="70" t="s">
        <v>10</v>
      </c>
      <c r="M9" s="1" t="s">
        <v>11</v>
      </c>
      <c r="N9" s="71" t="s">
        <v>73</v>
      </c>
      <c r="O9" s="65" t="s">
        <v>12</v>
      </c>
      <c r="P9" s="3" t="s">
        <v>13</v>
      </c>
      <c r="Q9" s="3" t="s">
        <v>14</v>
      </c>
      <c r="R9" s="3" t="s">
        <v>15</v>
      </c>
      <c r="S9" s="71" t="s">
        <v>74</v>
      </c>
      <c r="T9" s="157" t="s">
        <v>4</v>
      </c>
    </row>
    <row r="10" spans="1:20" ht="17.25" customHeight="1" thickBot="1" x14ac:dyDescent="0.3">
      <c r="A10" s="69" t="s">
        <v>66</v>
      </c>
      <c r="B10" s="82">
        <v>1</v>
      </c>
      <c r="C10" s="100">
        <v>2</v>
      </c>
      <c r="D10" s="69">
        <v>3</v>
      </c>
      <c r="E10" s="5">
        <v>4</v>
      </c>
      <c r="F10" s="82">
        <v>5</v>
      </c>
      <c r="G10" s="100">
        <v>6</v>
      </c>
      <c r="H10" s="69">
        <v>7</v>
      </c>
      <c r="I10" s="5">
        <v>8</v>
      </c>
      <c r="J10" s="82">
        <v>9</v>
      </c>
      <c r="K10" s="100">
        <v>10</v>
      </c>
      <c r="L10" s="69">
        <v>11</v>
      </c>
      <c r="M10" s="5">
        <v>12</v>
      </c>
      <c r="N10" s="156">
        <v>13</v>
      </c>
      <c r="O10" s="66">
        <v>14</v>
      </c>
      <c r="P10" s="82">
        <v>15</v>
      </c>
      <c r="Q10" s="5">
        <v>16</v>
      </c>
      <c r="R10" s="82">
        <v>17</v>
      </c>
      <c r="S10" s="100">
        <v>18</v>
      </c>
      <c r="T10" s="158">
        <v>19</v>
      </c>
    </row>
    <row r="11" spans="1:20" ht="25.5" x14ac:dyDescent="0.25">
      <c r="A11" s="154" t="s">
        <v>16</v>
      </c>
      <c r="B11" s="155">
        <f>'2022'!B12</f>
        <v>88</v>
      </c>
      <c r="C11" s="102">
        <v>8</v>
      </c>
      <c r="D11" s="67">
        <v>21</v>
      </c>
      <c r="E11" s="6">
        <v>20</v>
      </c>
      <c r="F11" s="6">
        <v>23</v>
      </c>
      <c r="G11" s="73">
        <f t="shared" ref="G11:G16" si="0">ROUND((B11*$G$3*C11*D11),2)+ROUND((B11*$G$3*C11*E11),2)+ROUND((B11*$G$3*C11*F11),2)</f>
        <v>202752</v>
      </c>
      <c r="H11" s="67">
        <v>18</v>
      </c>
      <c r="I11" s="6">
        <v>21</v>
      </c>
      <c r="J11" s="6">
        <v>21</v>
      </c>
      <c r="K11" s="73">
        <f>ROUND((B11*$G$3*C11*H11),2)+ROUND((B11*$G$3*C11*I11),2)+ROUND((B11*$G$3*C11*J11),2)-ROUND((SUM(H7:J7)*G3*B11),2)</f>
        <v>188892</v>
      </c>
      <c r="L11" s="67">
        <v>21</v>
      </c>
      <c r="M11" s="6">
        <v>23</v>
      </c>
      <c r="N11" s="73">
        <f t="shared" ref="N11:N16" si="1">ROUND((B11*$G$3*C11*L11),2)+ROUND((B11*$G$3*C11*M11),2)</f>
        <v>139392</v>
      </c>
      <c r="O11" s="67">
        <v>21</v>
      </c>
      <c r="P11" s="6">
        <v>22</v>
      </c>
      <c r="Q11" s="6">
        <v>21</v>
      </c>
      <c r="R11" s="6">
        <v>19</v>
      </c>
      <c r="S11" s="73">
        <f>ROUND((B11*$G$3*C11*O11),2)+ROUND((B11*$G$3*C11*P11),2)+ROUND((B11*$G$3*C11*Q11),2)+ROUND((B11*$G$3*C11*R11),2)-ROUND((SUM(O7:R7)*G3*B11),2)</f>
        <v>262548</v>
      </c>
      <c r="T11" s="113">
        <f>G11+K11+N11+S11</f>
        <v>793584</v>
      </c>
    </row>
    <row r="12" spans="1:20" x14ac:dyDescent="0.25">
      <c r="A12" s="149" t="s">
        <v>17</v>
      </c>
      <c r="B12" s="141">
        <f>'2022'!B13</f>
        <v>33</v>
      </c>
      <c r="C12" s="104">
        <v>8</v>
      </c>
      <c r="D12" s="68">
        <v>17</v>
      </c>
      <c r="E12" s="8">
        <v>15</v>
      </c>
      <c r="F12" s="8">
        <v>18</v>
      </c>
      <c r="G12" s="86">
        <f t="shared" si="0"/>
        <v>59400</v>
      </c>
      <c r="H12" s="68">
        <v>18</v>
      </c>
      <c r="I12" s="11">
        <v>21</v>
      </c>
      <c r="J12" s="8">
        <v>0</v>
      </c>
      <c r="K12" s="86">
        <f>ROUND((B12*$G$3*C12*H12),2)+ROUND((B12*$G$3*C12*I12),2)+ROUND((B12*$G$3*C12*J12),2)-ROUND((SUM(H7:I7)*G3*B12),2)</f>
        <v>46035</v>
      </c>
      <c r="L12" s="74">
        <v>0</v>
      </c>
      <c r="M12" s="8">
        <v>0</v>
      </c>
      <c r="N12" s="86">
        <f t="shared" si="1"/>
        <v>0</v>
      </c>
      <c r="O12" s="68">
        <v>21</v>
      </c>
      <c r="P12" s="8">
        <v>17</v>
      </c>
      <c r="Q12" s="11">
        <v>21</v>
      </c>
      <c r="R12" s="8">
        <v>16</v>
      </c>
      <c r="S12" s="86">
        <f>ROUND((B12*$G$3*C12*O12),2)+ROUND((B12*$G$3*C12*P12),2)+ROUND((B12*$G$3*C12*Q12),2)+ROUND((B12*$G$3*C12*R12),2)-ROUND((SUM(O7:Q7)*G3*B12),2)</f>
        <v>88951.5</v>
      </c>
      <c r="T12" s="113">
        <f t="shared" ref="T12:T22" si="2">G12+K12+N12+S12</f>
        <v>194386.5</v>
      </c>
    </row>
    <row r="13" spans="1:20" ht="20.25" customHeight="1" x14ac:dyDescent="0.25">
      <c r="A13" s="150" t="s">
        <v>18</v>
      </c>
      <c r="B13" s="141">
        <f>'2022'!B14+30</f>
        <v>213</v>
      </c>
      <c r="C13" s="104">
        <v>8</v>
      </c>
      <c r="D13" s="68">
        <v>17</v>
      </c>
      <c r="E13" s="8">
        <v>20</v>
      </c>
      <c r="F13" s="8">
        <v>18</v>
      </c>
      <c r="G13" s="86">
        <f t="shared" si="0"/>
        <v>421740</v>
      </c>
      <c r="H13" s="68">
        <v>18</v>
      </c>
      <c r="I13" s="11">
        <v>21</v>
      </c>
      <c r="J13" s="8">
        <v>0</v>
      </c>
      <c r="K13" s="86">
        <f>ROUND((B13*$G$3*C13*H13),2)+ROUND((B13*$G$3*C13*I13),2)+ROUND((B13*$G$3*C13*J13),2)-ROUND((SUM(H7:I7)*G3*B13),2)</f>
        <v>297135</v>
      </c>
      <c r="L13" s="74">
        <v>0</v>
      </c>
      <c r="M13" s="8">
        <v>0</v>
      </c>
      <c r="N13" s="86">
        <f t="shared" si="1"/>
        <v>0</v>
      </c>
      <c r="O13" s="68">
        <v>21</v>
      </c>
      <c r="P13" s="8">
        <v>17</v>
      </c>
      <c r="Q13" s="11">
        <v>21</v>
      </c>
      <c r="R13" s="8">
        <v>16</v>
      </c>
      <c r="S13" s="86">
        <f>ROUND((B13*$G$3*C13*O13),2)+ROUND((B13*$G$3*C13*P13),2)+ROUND((B13*$G$3*C13*Q13),2)+ROUND((B13*$G$3*C13*R13),2)-ROUND((SUM(O7:Q7)*G3*B13),2)</f>
        <v>574141.5</v>
      </c>
      <c r="T13" s="113">
        <f t="shared" si="2"/>
        <v>1293016.5</v>
      </c>
    </row>
    <row r="14" spans="1:20" x14ac:dyDescent="0.25">
      <c r="A14" s="149" t="s">
        <v>19</v>
      </c>
      <c r="B14" s="141">
        <f>'2022'!B15</f>
        <v>11</v>
      </c>
      <c r="C14" s="104">
        <v>8</v>
      </c>
      <c r="D14" s="68">
        <v>17</v>
      </c>
      <c r="E14" s="8">
        <v>20</v>
      </c>
      <c r="F14" s="8">
        <v>18</v>
      </c>
      <c r="G14" s="86">
        <f t="shared" si="0"/>
        <v>21780</v>
      </c>
      <c r="H14" s="68">
        <v>18</v>
      </c>
      <c r="I14" s="11">
        <v>21</v>
      </c>
      <c r="J14" s="8">
        <v>7</v>
      </c>
      <c r="K14" s="86">
        <f>ROUND((B14*$G$3*C14*H14),2)+ROUND((B14*$G$3*C14*I14),2)+ROUND((B14*$G$3*C14*J14),2)-ROUND((SUM(H7:I7)*G3*B14),2)</f>
        <v>18117</v>
      </c>
      <c r="L14" s="74">
        <v>0</v>
      </c>
      <c r="M14" s="8">
        <v>0</v>
      </c>
      <c r="N14" s="86">
        <f t="shared" si="1"/>
        <v>0</v>
      </c>
      <c r="O14" s="68">
        <v>21</v>
      </c>
      <c r="P14" s="8">
        <v>17</v>
      </c>
      <c r="Q14" s="11">
        <v>21</v>
      </c>
      <c r="R14" s="8">
        <v>16</v>
      </c>
      <c r="S14" s="86">
        <f>ROUND((B14*$G$3*C14*O14),2)+ROUND((B14*$G$3*C14*P14),2)+ROUND((B14*$G$3*C14*Q14),2)+ROUND((B14*$G$3*C14*R14),2)-ROUND((SUM(O7:Q7)*G3*B14),2)</f>
        <v>29650.5</v>
      </c>
      <c r="T14" s="113">
        <f t="shared" si="2"/>
        <v>69547.5</v>
      </c>
    </row>
    <row r="15" spans="1:20" x14ac:dyDescent="0.25">
      <c r="A15" s="149" t="s">
        <v>20</v>
      </c>
      <c r="B15" s="141">
        <f>'2022'!B16</f>
        <v>3</v>
      </c>
      <c r="C15" s="104">
        <v>8</v>
      </c>
      <c r="D15" s="68">
        <v>17</v>
      </c>
      <c r="E15" s="8">
        <v>20</v>
      </c>
      <c r="F15" s="8">
        <v>18</v>
      </c>
      <c r="G15" s="86">
        <f t="shared" si="0"/>
        <v>5940</v>
      </c>
      <c r="H15" s="68">
        <v>18</v>
      </c>
      <c r="I15" s="11">
        <v>21</v>
      </c>
      <c r="J15" s="8">
        <v>12</v>
      </c>
      <c r="K15" s="86">
        <f>ROUND((B15*$G$3*C15*H15),2)+ROUND((B15*$G$3*C15*I15),2)+ROUND((B15*$G$3*C15*J15),2)-ROUND((SUM(H7:I7)*G3*B15),2)</f>
        <v>5481</v>
      </c>
      <c r="L15" s="74">
        <v>0</v>
      </c>
      <c r="M15" s="8">
        <v>0</v>
      </c>
      <c r="N15" s="86">
        <f t="shared" si="1"/>
        <v>0</v>
      </c>
      <c r="O15" s="68">
        <v>21</v>
      </c>
      <c r="P15" s="8">
        <v>17</v>
      </c>
      <c r="Q15" s="11">
        <v>21</v>
      </c>
      <c r="R15" s="8">
        <v>16</v>
      </c>
      <c r="S15" s="86">
        <f>ROUND((B15*$G$3*C15*O15),2)+ROUND((B15*$G$3*C15*P15),2)+ROUND((B15*$G$3*C15*Q15),2)+ROUND((B15*$G$3*C15*R15),2)-ROUND((SUM(O7:Q7)*G3*B15),2)</f>
        <v>8086.5</v>
      </c>
      <c r="T15" s="113">
        <f t="shared" si="2"/>
        <v>19507.5</v>
      </c>
    </row>
    <row r="16" spans="1:20" x14ac:dyDescent="0.25">
      <c r="A16" s="149" t="s">
        <v>21</v>
      </c>
      <c r="B16" s="141">
        <f>'2022'!B17</f>
        <v>4</v>
      </c>
      <c r="C16" s="104">
        <v>8</v>
      </c>
      <c r="D16" s="74">
        <f>D11</f>
        <v>21</v>
      </c>
      <c r="E16" s="8">
        <f t="shared" ref="E16:F16" si="3">E11</f>
        <v>20</v>
      </c>
      <c r="F16" s="8">
        <f t="shared" si="3"/>
        <v>23</v>
      </c>
      <c r="G16" s="86">
        <f t="shared" si="0"/>
        <v>9216</v>
      </c>
      <c r="H16" s="68">
        <f>H11</f>
        <v>18</v>
      </c>
      <c r="I16" s="11">
        <f t="shared" ref="I16:J16" si="4">I11</f>
        <v>21</v>
      </c>
      <c r="J16" s="11">
        <f t="shared" si="4"/>
        <v>21</v>
      </c>
      <c r="K16" s="86">
        <f>ROUND((B16*$G$3*C16*H16),2)+ROUND((B16*$G$3*C16*I16),2)+ROUND((B16*$G$3*C16*J16),2)-ROUND((SUM(H7:J7)*G3*B16),2)</f>
        <v>8586</v>
      </c>
      <c r="L16" s="68">
        <f>L11</f>
        <v>21</v>
      </c>
      <c r="M16" s="11">
        <f>M11</f>
        <v>23</v>
      </c>
      <c r="N16" s="86">
        <f t="shared" si="1"/>
        <v>6336</v>
      </c>
      <c r="O16" s="68">
        <v>21</v>
      </c>
      <c r="P16" s="11">
        <f t="shared" ref="P16:R16" si="5">P11</f>
        <v>22</v>
      </c>
      <c r="Q16" s="11">
        <f t="shared" si="5"/>
        <v>21</v>
      </c>
      <c r="R16" s="11">
        <f t="shared" si="5"/>
        <v>19</v>
      </c>
      <c r="S16" s="86">
        <f>ROUND((B16*$G$3*C16*O16),2)+ROUND((B16*$G$3*C16*P16),2)+ROUND((B16*$G$3*C16*Q16),2)+ROUND((B16*$G$3*C16*R16),2)-ROUND((SUM(O7:R7)*G3*B16),2)</f>
        <v>11934</v>
      </c>
      <c r="T16" s="113">
        <f t="shared" si="2"/>
        <v>36072</v>
      </c>
    </row>
    <row r="17" spans="1:20" s="37" customFormat="1" x14ac:dyDescent="0.25">
      <c r="A17" s="151" t="s">
        <v>22</v>
      </c>
      <c r="B17" s="142"/>
      <c r="C17" s="107"/>
      <c r="D17" s="80"/>
      <c r="E17" s="76"/>
      <c r="F17" s="76"/>
      <c r="G17" s="24"/>
      <c r="H17" s="80"/>
      <c r="I17" s="76"/>
      <c r="J17" s="76"/>
      <c r="K17" s="87"/>
      <c r="L17" s="80"/>
      <c r="M17" s="76"/>
      <c r="N17" s="87"/>
      <c r="O17" s="80"/>
      <c r="P17" s="76"/>
      <c r="Q17" s="76"/>
      <c r="R17" s="76"/>
      <c r="S17" s="87"/>
      <c r="T17" s="183"/>
    </row>
    <row r="18" spans="1:20" ht="25.5" x14ac:dyDescent="0.25">
      <c r="A18" s="148" t="s">
        <v>23</v>
      </c>
      <c r="B18" s="10">
        <f>'2022'!B19</f>
        <v>22</v>
      </c>
      <c r="C18" s="104">
        <v>8</v>
      </c>
      <c r="D18" s="68">
        <f>D11</f>
        <v>21</v>
      </c>
      <c r="E18" s="11">
        <f t="shared" ref="E18:F18" si="6">E11</f>
        <v>20</v>
      </c>
      <c r="F18" s="11">
        <f t="shared" si="6"/>
        <v>23</v>
      </c>
      <c r="G18" s="86">
        <f>ROUND((B18*$G$3*C18*D18),2)+ROUND((B18*$G$3*C18*E18),2)+ROUND((B18*$G$3*C18*F18),2)</f>
        <v>50688</v>
      </c>
      <c r="H18" s="68">
        <f>H11</f>
        <v>18</v>
      </c>
      <c r="I18" s="11">
        <f t="shared" ref="I18:J18" si="7">I11</f>
        <v>21</v>
      </c>
      <c r="J18" s="11">
        <f t="shared" si="7"/>
        <v>21</v>
      </c>
      <c r="K18" s="86">
        <f>ROUND((B18*$G$3*C18*H18),2)+ROUND((B18*$G$3*C18*I18),2)+ROUND((B18*$G$3*C18*J18),2)-ROUND((SUM(H7:J7)*G3*B18),2)</f>
        <v>47223</v>
      </c>
      <c r="L18" s="68">
        <f>L11</f>
        <v>21</v>
      </c>
      <c r="M18" s="11">
        <f>M11</f>
        <v>23</v>
      </c>
      <c r="N18" s="86">
        <f>ROUND((B18*$G$3*C18*L18),2)+ROUND((B18*$G$3*C18*M18),2)</f>
        <v>34848</v>
      </c>
      <c r="O18" s="68">
        <f>O11</f>
        <v>21</v>
      </c>
      <c r="P18" s="11">
        <f t="shared" ref="P18:R18" si="8">P11</f>
        <v>22</v>
      </c>
      <c r="Q18" s="11">
        <f t="shared" si="8"/>
        <v>21</v>
      </c>
      <c r="R18" s="11">
        <f t="shared" si="8"/>
        <v>19</v>
      </c>
      <c r="S18" s="86">
        <f>ROUND((B18*$G$3*C18*O18),2)+ROUND((B18*$G$3*C18*P18),2)+ROUND((B18*$G$3*C18*Q18),2)+ROUND((B18*$G$3*C18*R18),2)-ROUND((SUM(O7:R7)*G3*B18),2)</f>
        <v>65637</v>
      </c>
      <c r="T18" s="113">
        <f t="shared" si="2"/>
        <v>198396</v>
      </c>
    </row>
    <row r="19" spans="1:20" x14ac:dyDescent="0.25">
      <c r="A19" s="149" t="s">
        <v>17</v>
      </c>
      <c r="B19" s="10">
        <f>'2022'!B20</f>
        <v>3</v>
      </c>
      <c r="C19" s="104">
        <v>8</v>
      </c>
      <c r="D19" s="68">
        <f t="shared" ref="D19:F22" si="9">D12</f>
        <v>17</v>
      </c>
      <c r="E19" s="11">
        <f t="shared" si="9"/>
        <v>15</v>
      </c>
      <c r="F19" s="11">
        <f t="shared" si="9"/>
        <v>18</v>
      </c>
      <c r="G19" s="86">
        <f>ROUND((B19*$G$3*C19*D19),2)+ROUND((B19*$G$3*C19*E19),2)+ROUND((B19*$G$3*C19*F19),2)</f>
        <v>5400</v>
      </c>
      <c r="H19" s="68">
        <f t="shared" ref="H19:J22" si="10">H12</f>
        <v>18</v>
      </c>
      <c r="I19" s="11">
        <f t="shared" si="10"/>
        <v>21</v>
      </c>
      <c r="J19" s="11">
        <f t="shared" si="10"/>
        <v>0</v>
      </c>
      <c r="K19" s="86">
        <f>ROUND((B19*$G$3*C19*H19),2)+ROUND((B19*$G$3*C19*I19),2)+ROUND((B19*$G$3*C19*J19),2)-ROUND((SUM(H7:I7)*G3*B19),2)</f>
        <v>4185</v>
      </c>
      <c r="L19" s="68">
        <f t="shared" ref="L19:M22" si="11">L12</f>
        <v>0</v>
      </c>
      <c r="M19" s="11">
        <f t="shared" si="11"/>
        <v>0</v>
      </c>
      <c r="N19" s="86">
        <f>ROUND((B19*$G$3*C19*L19),2)+ROUND((B19*$G$3*C19*M19),2)</f>
        <v>0</v>
      </c>
      <c r="O19" s="68">
        <f t="shared" ref="O19:R22" si="12">O12</f>
        <v>21</v>
      </c>
      <c r="P19" s="11">
        <f t="shared" si="12"/>
        <v>17</v>
      </c>
      <c r="Q19" s="11">
        <f t="shared" si="12"/>
        <v>21</v>
      </c>
      <c r="R19" s="11">
        <f t="shared" si="12"/>
        <v>16</v>
      </c>
      <c r="S19" s="86">
        <f>ROUND((B19*$G$3*C19*O19),2)+ROUND((B19*$G$3*C19*P19),2)+ROUND((B19*$G$3*C19*Q19),2)+ROUND((B19*$G$3*C19*R19),2)-ROUND((SUM(O7:Q7)*G3*B19),2)</f>
        <v>8086.5</v>
      </c>
      <c r="T19" s="113">
        <f t="shared" si="2"/>
        <v>17671.5</v>
      </c>
    </row>
    <row r="20" spans="1:20" ht="30" x14ac:dyDescent="0.25">
      <c r="A20" s="149" t="s">
        <v>18</v>
      </c>
      <c r="B20" s="10">
        <f>'2022'!B21</f>
        <v>15</v>
      </c>
      <c r="C20" s="104">
        <v>8</v>
      </c>
      <c r="D20" s="68">
        <f t="shared" si="9"/>
        <v>17</v>
      </c>
      <c r="E20" s="11">
        <f t="shared" si="9"/>
        <v>20</v>
      </c>
      <c r="F20" s="11">
        <f t="shared" si="9"/>
        <v>18</v>
      </c>
      <c r="G20" s="86">
        <f>ROUND((B20*$G$3*C20*D20),2)+ROUND((B20*$G$3*C20*E20),2)+ROUND((B20*$G$3*C20*F20),2)</f>
        <v>29700</v>
      </c>
      <c r="H20" s="68">
        <f t="shared" si="10"/>
        <v>18</v>
      </c>
      <c r="I20" s="11">
        <f t="shared" si="10"/>
        <v>21</v>
      </c>
      <c r="J20" s="11">
        <f t="shared" si="10"/>
        <v>0</v>
      </c>
      <c r="K20" s="86">
        <f>ROUND((B20*$G$3*C20*H20),2)+ROUND((B20*$G$3*C20*I20),2)+ROUND((B20*$G$3*C20*J20),2)-ROUND((SUM(H7:I7)*G3*B20),2)</f>
        <v>20925</v>
      </c>
      <c r="L20" s="68">
        <f t="shared" si="11"/>
        <v>0</v>
      </c>
      <c r="M20" s="11">
        <f t="shared" si="11"/>
        <v>0</v>
      </c>
      <c r="N20" s="86">
        <f>ROUND((B20*$G$3*C20*L20),2)+ROUND((B20*$G$3*C20*M20),2)</f>
        <v>0</v>
      </c>
      <c r="O20" s="68">
        <f t="shared" si="12"/>
        <v>21</v>
      </c>
      <c r="P20" s="11">
        <f t="shared" si="12"/>
        <v>17</v>
      </c>
      <c r="Q20" s="11">
        <f t="shared" si="12"/>
        <v>21</v>
      </c>
      <c r="R20" s="11">
        <f t="shared" si="12"/>
        <v>16</v>
      </c>
      <c r="S20" s="86">
        <f>ROUND((B20*$G$3*C20*O20),2)+ROUND((B20*$G$3*C20*P20),2)+ROUND((B20*$G$3*C20*Q20),2)+ROUND((B20*$G$3*C20*R20),2)-ROUND((SUM(O7:Q7)*G3*B20),2)</f>
        <v>40432.5</v>
      </c>
      <c r="T20" s="113">
        <f t="shared" si="2"/>
        <v>91057.5</v>
      </c>
    </row>
    <row r="21" spans="1:20" x14ac:dyDescent="0.25">
      <c r="A21" s="149" t="s">
        <v>19</v>
      </c>
      <c r="B21" s="4"/>
      <c r="C21" s="104">
        <v>8</v>
      </c>
      <c r="D21" s="68">
        <f t="shared" si="9"/>
        <v>17</v>
      </c>
      <c r="E21" s="11">
        <f t="shared" si="9"/>
        <v>20</v>
      </c>
      <c r="F21" s="11">
        <f t="shared" si="9"/>
        <v>18</v>
      </c>
      <c r="G21" s="86">
        <f>ROUND((B21*$G$3*C21*D21),2)+ROUND((B21*$G$3*C21*E21),2)+ROUND((B21*$G$3*C21*F21),2)</f>
        <v>0</v>
      </c>
      <c r="H21" s="68">
        <f t="shared" si="10"/>
        <v>18</v>
      </c>
      <c r="I21" s="11">
        <f t="shared" si="10"/>
        <v>21</v>
      </c>
      <c r="J21" s="11">
        <f t="shared" si="10"/>
        <v>7</v>
      </c>
      <c r="K21" s="86">
        <f>ROUND((B21*$G$3*C21*H21),2)+ROUND((B21*$G$3*C21*I21),2)+ROUND((B21*$G$3*C21*J21),2)</f>
        <v>0</v>
      </c>
      <c r="L21" s="68">
        <f t="shared" si="11"/>
        <v>0</v>
      </c>
      <c r="M21" s="11">
        <f t="shared" si="11"/>
        <v>0</v>
      </c>
      <c r="N21" s="86">
        <f>ROUND((B21*$G$3*C21*L21),2)+ROUND((B21*$G$3*C21*M21),2)</f>
        <v>0</v>
      </c>
      <c r="O21" s="68">
        <f t="shared" si="12"/>
        <v>21</v>
      </c>
      <c r="P21" s="11">
        <f t="shared" si="12"/>
        <v>17</v>
      </c>
      <c r="Q21" s="11">
        <f t="shared" si="12"/>
        <v>21</v>
      </c>
      <c r="R21" s="11">
        <f t="shared" si="12"/>
        <v>16</v>
      </c>
      <c r="S21" s="86">
        <f>ROUND((B21*$G$3*C21*O21),2)+ROUND((B21*$G$3*C21*P21),2)+ROUND((B21*$G$3*C21*Q21),2)+ROUND((B21*$G$3*C21*R21),2)</f>
        <v>0</v>
      </c>
      <c r="T21" s="113">
        <f t="shared" si="2"/>
        <v>0</v>
      </c>
    </row>
    <row r="22" spans="1:20" ht="15.75" thickBot="1" x14ac:dyDescent="0.3">
      <c r="A22" s="152" t="s">
        <v>20</v>
      </c>
      <c r="B22" s="153"/>
      <c r="C22" s="72">
        <v>8</v>
      </c>
      <c r="D22" s="69">
        <f t="shared" si="9"/>
        <v>17</v>
      </c>
      <c r="E22" s="82">
        <f t="shared" si="9"/>
        <v>20</v>
      </c>
      <c r="F22" s="82">
        <f t="shared" si="9"/>
        <v>18</v>
      </c>
      <c r="G22" s="88">
        <f>ROUND((B22*$G$3*C22*D22),2)+ROUND((B22*$G$3*C22*E22),2)+ROUND((B22*$G$3*C22*F22),2)</f>
        <v>0</v>
      </c>
      <c r="H22" s="69">
        <f t="shared" si="10"/>
        <v>18</v>
      </c>
      <c r="I22" s="82">
        <f t="shared" si="10"/>
        <v>21</v>
      </c>
      <c r="J22" s="82">
        <f>J15</f>
        <v>12</v>
      </c>
      <c r="K22" s="88">
        <f>ROUND((B22*$G$3*C22*H22),2)+ROUND((B22*$G$3*C22*I22),2)+ROUND((B22*$G$3*C22*J22),2)</f>
        <v>0</v>
      </c>
      <c r="L22" s="69">
        <f t="shared" si="11"/>
        <v>0</v>
      </c>
      <c r="M22" s="82">
        <f t="shared" si="11"/>
        <v>0</v>
      </c>
      <c r="N22" s="88">
        <f>ROUND((B22*$G$3*C22*L22),2)+ROUND((B22*$G$3*C22*M22),2)</f>
        <v>0</v>
      </c>
      <c r="O22" s="69">
        <f t="shared" si="12"/>
        <v>21</v>
      </c>
      <c r="P22" s="82">
        <f t="shared" si="12"/>
        <v>17</v>
      </c>
      <c r="Q22" s="82">
        <f t="shared" si="12"/>
        <v>21</v>
      </c>
      <c r="R22" s="82">
        <f t="shared" si="12"/>
        <v>16</v>
      </c>
      <c r="S22" s="88">
        <f>ROUND((B22*$G$3*C22*O22),2)+ROUND((B22*$G$3*C22*P22),2)+ROUND((B22*$G$3*C22*Q22),2)+ROUND((B22*$G$3*C22*R22),2)</f>
        <v>0</v>
      </c>
      <c r="T22" s="113">
        <f t="shared" si="2"/>
        <v>0</v>
      </c>
    </row>
    <row r="23" spans="1:20" ht="19.5" thickBot="1" x14ac:dyDescent="0.35">
      <c r="B23" s="13">
        <f>SUM(B11:B22)</f>
        <v>392</v>
      </c>
      <c r="G23" s="14">
        <f>SUM(G11:G22)</f>
        <v>806616</v>
      </c>
      <c r="K23" s="14">
        <f>SUM(K11:K22)</f>
        <v>636579</v>
      </c>
      <c r="N23" s="14">
        <f>SUM(N11:N22)</f>
        <v>180576</v>
      </c>
      <c r="S23" s="14">
        <f>SUM(S11:S22)</f>
        <v>1089468</v>
      </c>
      <c r="T23" s="117">
        <f>SUM(T11:T22)</f>
        <v>2713239</v>
      </c>
    </row>
    <row r="24" spans="1:20" ht="18.75" x14ac:dyDescent="0.3">
      <c r="B24" s="13"/>
      <c r="G24" s="14"/>
      <c r="K24" s="14"/>
      <c r="N24" s="14"/>
      <c r="S24" s="14"/>
      <c r="T24" s="15"/>
    </row>
    <row r="25" spans="1:20" ht="96.75" customHeight="1" x14ac:dyDescent="0.25">
      <c r="N25" s="45"/>
      <c r="O25" s="31" t="s">
        <v>32</v>
      </c>
      <c r="P25" s="31" t="s">
        <v>31</v>
      </c>
      <c r="Q25" s="31" t="s">
        <v>34</v>
      </c>
      <c r="R25" s="31" t="s">
        <v>39</v>
      </c>
      <c r="S25" s="31" t="s">
        <v>40</v>
      </c>
      <c r="T25" s="31" t="s">
        <v>33</v>
      </c>
    </row>
    <row r="26" spans="1:20" x14ac:dyDescent="0.25">
      <c r="N26" s="46"/>
      <c r="O26" s="159">
        <v>1</v>
      </c>
      <c r="P26" s="159">
        <v>2</v>
      </c>
      <c r="Q26" s="159">
        <v>3</v>
      </c>
      <c r="R26" s="159">
        <v>4</v>
      </c>
      <c r="S26" s="11" t="s">
        <v>68</v>
      </c>
      <c r="T26" s="54" t="s">
        <v>69</v>
      </c>
    </row>
    <row r="27" spans="1:20" ht="30" x14ac:dyDescent="0.25">
      <c r="B27" s="21"/>
      <c r="C27" s="118"/>
      <c r="D27" s="56"/>
      <c r="E27" s="56"/>
      <c r="F27" s="56"/>
      <c r="N27" s="58" t="s">
        <v>42</v>
      </c>
      <c r="O27" s="162">
        <v>1031876</v>
      </c>
      <c r="P27" s="188">
        <f>T23</f>
        <v>2713239</v>
      </c>
      <c r="Q27" s="135">
        <f>O27-P27</f>
        <v>-1681363</v>
      </c>
      <c r="R27" s="160">
        <v>0.75</v>
      </c>
      <c r="S27" s="54">
        <f>P27*R27</f>
        <v>2034929.25</v>
      </c>
      <c r="T27" s="161">
        <f>O27-S27</f>
        <v>-1003053.25</v>
      </c>
    </row>
    <row r="28" spans="1:20" x14ac:dyDescent="0.25">
      <c r="B28" s="119"/>
      <c r="C28" s="120"/>
      <c r="D28" s="121"/>
      <c r="E28" s="121"/>
      <c r="F28" s="121"/>
    </row>
    <row r="29" spans="1:20" x14ac:dyDescent="0.25">
      <c r="B29" s="29"/>
      <c r="C29" s="122"/>
      <c r="D29" s="121"/>
      <c r="E29" s="121"/>
      <c r="F29" s="121"/>
    </row>
    <row r="30" spans="1:20" x14ac:dyDescent="0.25">
      <c r="B30" s="29"/>
      <c r="C30" s="122"/>
      <c r="D30" s="121"/>
      <c r="E30" s="121"/>
      <c r="F30" s="121"/>
    </row>
    <row r="31" spans="1:20" x14ac:dyDescent="0.25">
      <c r="B31" s="29"/>
      <c r="C31" s="123"/>
      <c r="D31" s="124"/>
      <c r="E31" s="125"/>
      <c r="F31" s="125"/>
      <c r="G31" s="15"/>
      <c r="H31" s="62"/>
      <c r="I31" s="34"/>
      <c r="J31" s="29"/>
      <c r="K31" s="29"/>
    </row>
    <row r="32" spans="1:20" x14ac:dyDescent="0.25">
      <c r="B32" s="29"/>
      <c r="C32" s="120"/>
      <c r="D32" s="121"/>
      <c r="E32" s="121"/>
      <c r="F32" s="121"/>
      <c r="H32" s="62"/>
      <c r="I32" s="34"/>
      <c r="J32" s="29"/>
      <c r="K32" s="29"/>
    </row>
    <row r="33" spans="2:17" x14ac:dyDescent="0.25">
      <c r="B33" s="29"/>
      <c r="C33" s="122"/>
      <c r="D33" s="121"/>
      <c r="E33" s="121"/>
      <c r="F33" s="121"/>
      <c r="H33" s="62"/>
      <c r="I33" s="34"/>
      <c r="J33" s="29"/>
      <c r="K33" s="29"/>
    </row>
    <row r="34" spans="2:17" x14ac:dyDescent="0.25">
      <c r="B34" s="29"/>
      <c r="C34" s="122"/>
      <c r="D34" s="121"/>
      <c r="E34" s="121"/>
      <c r="F34" s="121"/>
      <c r="H34" s="62"/>
      <c r="I34" s="34"/>
      <c r="J34" s="29"/>
      <c r="K34" s="29"/>
    </row>
    <row r="35" spans="2:17" x14ac:dyDescent="0.25">
      <c r="B35" s="29"/>
      <c r="C35" s="123"/>
      <c r="D35" s="125"/>
      <c r="E35" s="125"/>
      <c r="F35" s="125"/>
      <c r="G35" s="15"/>
      <c r="H35" s="62"/>
      <c r="I35" s="34"/>
      <c r="J35" s="29"/>
      <c r="K35" s="29"/>
    </row>
    <row r="36" spans="2:17" x14ac:dyDescent="0.25">
      <c r="B36" s="29"/>
      <c r="C36" s="120"/>
      <c r="D36" s="121"/>
      <c r="E36" s="121"/>
      <c r="F36" s="121"/>
      <c r="H36" s="62"/>
      <c r="I36" s="34"/>
      <c r="J36" s="29"/>
      <c r="K36" s="29"/>
    </row>
    <row r="37" spans="2:17" x14ac:dyDescent="0.25">
      <c r="B37" s="29"/>
      <c r="C37" s="122"/>
      <c r="D37" s="121"/>
      <c r="E37" s="121"/>
      <c r="F37" s="121"/>
      <c r="H37" s="62"/>
      <c r="I37" s="34"/>
      <c r="J37" s="29"/>
      <c r="K37" s="29"/>
    </row>
    <row r="38" spans="2:17" x14ac:dyDescent="0.25">
      <c r="B38" s="29"/>
      <c r="C38" s="122"/>
      <c r="D38" s="121"/>
      <c r="E38" s="121"/>
      <c r="F38" s="121"/>
      <c r="H38" s="62"/>
      <c r="I38" s="34"/>
      <c r="J38" s="29"/>
      <c r="K38" s="29"/>
    </row>
    <row r="39" spans="2:17" x14ac:dyDescent="0.25">
      <c r="B39" s="29"/>
      <c r="C39" s="123"/>
      <c r="D39" s="125"/>
      <c r="E39" s="125"/>
      <c r="F39" s="125"/>
      <c r="G39" s="15"/>
      <c r="H39" s="62"/>
      <c r="I39" s="34"/>
      <c r="J39" s="29"/>
      <c r="K39" s="29"/>
    </row>
    <row r="40" spans="2:17" x14ac:dyDescent="0.25">
      <c r="B40" s="29"/>
      <c r="C40" s="120"/>
      <c r="D40" s="121"/>
      <c r="E40" s="121"/>
      <c r="F40" s="121"/>
    </row>
    <row r="41" spans="2:17" ht="46.5" customHeight="1" x14ac:dyDescent="0.25">
      <c r="B41" s="29"/>
      <c r="C41" s="122"/>
      <c r="D41" s="121"/>
      <c r="E41" s="121"/>
      <c r="F41" s="121"/>
      <c r="I41" s="19"/>
      <c r="J41" s="40"/>
      <c r="K41" s="40"/>
      <c r="L41" s="19"/>
      <c r="M41" s="40"/>
      <c r="N41" s="40"/>
      <c r="P41" s="38"/>
      <c r="Q41" s="38"/>
    </row>
    <row r="42" spans="2:17" ht="18.75" x14ac:dyDescent="0.3">
      <c r="B42" s="29"/>
      <c r="C42" s="122"/>
      <c r="D42" s="121"/>
      <c r="E42" s="121"/>
      <c r="F42" s="121"/>
      <c r="I42" s="20"/>
      <c r="J42" s="41"/>
      <c r="K42" s="41"/>
      <c r="L42" s="41"/>
      <c r="M42" s="41"/>
      <c r="N42" s="48"/>
      <c r="O42" s="19"/>
      <c r="P42" s="19"/>
      <c r="Q42" s="19"/>
    </row>
    <row r="43" spans="2:17" x14ac:dyDescent="0.25">
      <c r="B43" s="29"/>
      <c r="C43" s="123"/>
      <c r="D43" s="125"/>
      <c r="E43" s="125"/>
      <c r="F43" s="125"/>
      <c r="G43" s="15"/>
      <c r="I43" s="21"/>
      <c r="J43" s="42"/>
      <c r="K43" s="41"/>
      <c r="L43" s="50"/>
      <c r="M43" s="49"/>
      <c r="N43" s="51"/>
      <c r="O43" s="22"/>
      <c r="P43" s="19"/>
      <c r="Q43" s="19"/>
    </row>
    <row r="44" spans="2:17" x14ac:dyDescent="0.25">
      <c r="B44" s="29"/>
      <c r="C44" s="120"/>
      <c r="D44" s="121"/>
      <c r="E44" s="121"/>
      <c r="F44" s="126"/>
      <c r="I44" s="23"/>
      <c r="J44" s="43"/>
      <c r="K44" s="41"/>
      <c r="L44" s="50"/>
      <c r="M44" s="52"/>
      <c r="N44" s="51"/>
      <c r="O44" s="22"/>
      <c r="P44" s="39"/>
      <c r="Q44" s="19"/>
    </row>
    <row r="45" spans="2:17" x14ac:dyDescent="0.25">
      <c r="B45" s="29"/>
      <c r="C45" s="122"/>
      <c r="D45" s="121"/>
      <c r="E45" s="121"/>
      <c r="F45" s="126"/>
      <c r="I45" s="23"/>
      <c r="J45" s="44"/>
      <c r="K45" s="41"/>
      <c r="L45" s="50"/>
      <c r="M45" s="53"/>
      <c r="N45" s="51"/>
      <c r="O45" s="22"/>
      <c r="P45" s="39"/>
      <c r="Q45" s="19"/>
    </row>
    <row r="46" spans="2:17" ht="60.75" customHeight="1" x14ac:dyDescent="0.25">
      <c r="B46" s="29"/>
      <c r="C46" s="122"/>
      <c r="D46" s="121"/>
      <c r="E46" s="121"/>
      <c r="F46" s="126"/>
      <c r="I46" s="23"/>
      <c r="N46" s="51"/>
      <c r="O46" s="22"/>
      <c r="P46" s="39"/>
      <c r="Q46" s="39"/>
    </row>
    <row r="47" spans="2:17" ht="32.25" customHeight="1" x14ac:dyDescent="0.25">
      <c r="B47" s="29"/>
      <c r="C47" s="123"/>
      <c r="D47" s="121"/>
      <c r="E47" s="121"/>
      <c r="F47" s="126"/>
      <c r="H47" s="38"/>
      <c r="I47" s="23"/>
      <c r="N47" s="51"/>
      <c r="O47" s="22"/>
    </row>
    <row r="48" spans="2:17" ht="15.75" x14ac:dyDescent="0.25">
      <c r="B48" s="29"/>
      <c r="C48" s="29"/>
      <c r="D48" s="127"/>
      <c r="E48" s="128"/>
      <c r="F48" s="127"/>
      <c r="G48" s="25"/>
      <c r="H48" s="129"/>
      <c r="I48" s="23"/>
      <c r="N48" s="51"/>
      <c r="O48" s="22"/>
    </row>
    <row r="49" spans="4:14" x14ac:dyDescent="0.25">
      <c r="D49" s="25"/>
      <c r="E49" s="26"/>
      <c r="F49" s="25"/>
      <c r="G49" s="25"/>
      <c r="H49" s="19"/>
      <c r="I49" s="23"/>
    </row>
    <row r="50" spans="4:14" x14ac:dyDescent="0.25">
      <c r="D50" s="25"/>
      <c r="E50" s="26"/>
      <c r="F50" s="25"/>
      <c r="G50" s="25"/>
      <c r="I50" s="23"/>
      <c r="N50" s="28"/>
    </row>
  </sheetData>
  <mergeCells count="4">
    <mergeCell ref="A1:S1"/>
    <mergeCell ref="A2:T2"/>
    <mergeCell ref="A3:F3"/>
    <mergeCell ref="D5:R5"/>
  </mergeCells>
  <pageMargins left="0.51181102362204722" right="0.51181102362204722" top="0.55118110236220474" bottom="0.55118110236220474" header="0.31496062992125984" footer="0.31496062992125984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G19" workbookViewId="0">
      <selection activeCell="G12" sqref="G12"/>
    </sheetView>
  </sheetViews>
  <sheetFormatPr defaultRowHeight="15" x14ac:dyDescent="0.25"/>
  <cols>
    <col min="1" max="1" width="11.42578125" customWidth="1"/>
    <col min="2" max="2" width="9.140625" customWidth="1"/>
    <col min="3" max="3" width="7.85546875" customWidth="1"/>
    <col min="4" max="4" width="12.140625" customWidth="1"/>
    <col min="5" max="5" width="11" customWidth="1"/>
    <col min="6" max="6" width="12.7109375" customWidth="1"/>
    <col min="7" max="7" width="13.42578125" customWidth="1"/>
    <col min="8" max="8" width="13" customWidth="1"/>
    <col min="9" max="9" width="8.85546875" customWidth="1"/>
    <col min="10" max="10" width="15.5703125" customWidth="1"/>
    <col min="11" max="11" width="14" customWidth="1"/>
    <col min="12" max="12" width="11.5703125" customWidth="1"/>
    <col min="13" max="13" width="13.42578125" customWidth="1"/>
    <col min="14" max="14" width="14" customWidth="1"/>
    <col min="15" max="15" width="13.7109375" customWidth="1"/>
    <col min="16" max="16" width="11.140625" customWidth="1"/>
    <col min="17" max="17" width="12.85546875" customWidth="1"/>
    <col min="18" max="18" width="10.7109375" customWidth="1"/>
    <col min="19" max="19" width="14.5703125" customWidth="1"/>
    <col min="20" max="20" width="12.140625" customWidth="1"/>
  </cols>
  <sheetData>
    <row r="1" spans="1:20" ht="21" x14ac:dyDescent="0.35">
      <c r="A1" s="193" t="s">
        <v>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ht="15.75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15.75" x14ac:dyDescent="0.25">
      <c r="A3" s="198" t="s">
        <v>70</v>
      </c>
      <c r="B3" s="198"/>
      <c r="C3" s="198"/>
      <c r="D3" s="198"/>
      <c r="E3" s="198"/>
      <c r="F3" s="198"/>
      <c r="G3" s="140">
        <v>4.5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15.75" x14ac:dyDescent="0.25">
      <c r="A4" s="204"/>
      <c r="B4" s="204"/>
      <c r="C4" s="204"/>
      <c r="D4" s="204"/>
      <c r="E4" s="204"/>
      <c r="F4" s="204"/>
      <c r="G4" s="205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1:20" ht="15.75" x14ac:dyDescent="0.25">
      <c r="A5" s="204"/>
      <c r="B5" s="204"/>
      <c r="C5" s="204"/>
      <c r="D5" s="208" t="s">
        <v>82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164"/>
      <c r="T5" s="164"/>
    </row>
    <row r="6" spans="1:20" ht="15.75" x14ac:dyDescent="0.25">
      <c r="A6" s="204"/>
      <c r="B6" s="204"/>
      <c r="C6" s="204"/>
      <c r="D6" s="210" t="s">
        <v>25</v>
      </c>
      <c r="E6" s="210" t="s">
        <v>26</v>
      </c>
      <c r="F6" s="210" t="s">
        <v>27</v>
      </c>
      <c r="G6" s="205"/>
      <c r="H6" s="211" t="s">
        <v>28</v>
      </c>
      <c r="I6" s="211" t="s">
        <v>29</v>
      </c>
      <c r="J6" s="211" t="s">
        <v>30</v>
      </c>
      <c r="K6" s="203"/>
      <c r="L6" s="211" t="s">
        <v>83</v>
      </c>
      <c r="M6" s="211" t="s">
        <v>84</v>
      </c>
      <c r="N6" s="203"/>
      <c r="O6" s="211" t="s">
        <v>85</v>
      </c>
      <c r="P6" s="211" t="s">
        <v>86</v>
      </c>
      <c r="Q6" s="211" t="s">
        <v>80</v>
      </c>
      <c r="R6" s="211" t="s">
        <v>81</v>
      </c>
      <c r="S6" s="164"/>
      <c r="T6" s="164"/>
    </row>
    <row r="7" spans="1:20" ht="15.75" x14ac:dyDescent="0.25">
      <c r="A7" s="204"/>
      <c r="B7" s="204"/>
      <c r="C7" s="204"/>
      <c r="D7" s="206"/>
      <c r="E7" s="206"/>
      <c r="F7" s="212">
        <v>1</v>
      </c>
      <c r="G7" s="205"/>
      <c r="H7" s="202">
        <v>1</v>
      </c>
      <c r="I7" s="202">
        <v>1</v>
      </c>
      <c r="J7" s="202"/>
      <c r="K7" s="203"/>
      <c r="L7" s="202"/>
      <c r="M7" s="202"/>
      <c r="N7" s="203"/>
      <c r="O7" s="202"/>
      <c r="P7" s="202"/>
      <c r="Q7" s="202"/>
      <c r="R7" s="202">
        <v>2</v>
      </c>
      <c r="S7" s="164"/>
      <c r="T7" s="164"/>
    </row>
    <row r="8" spans="1:20" ht="15" customHeight="1" thickBot="1" x14ac:dyDescent="0.3"/>
    <row r="9" spans="1:20" ht="82.5" customHeight="1" x14ac:dyDescent="0.25">
      <c r="A9" s="65" t="s">
        <v>64</v>
      </c>
      <c r="B9" s="71" t="s">
        <v>65</v>
      </c>
      <c r="C9" s="175" t="s">
        <v>0</v>
      </c>
      <c r="D9" s="1" t="s">
        <v>1</v>
      </c>
      <c r="E9" s="1" t="s">
        <v>2</v>
      </c>
      <c r="F9" s="1" t="s">
        <v>3</v>
      </c>
      <c r="G9" s="71" t="s">
        <v>75</v>
      </c>
      <c r="H9" s="70" t="s">
        <v>6</v>
      </c>
      <c r="I9" s="1" t="s">
        <v>7</v>
      </c>
      <c r="J9" s="1" t="s">
        <v>8</v>
      </c>
      <c r="K9" s="71" t="s">
        <v>76</v>
      </c>
      <c r="L9" s="70" t="s">
        <v>10</v>
      </c>
      <c r="M9" s="1" t="s">
        <v>11</v>
      </c>
      <c r="N9" s="71" t="s">
        <v>77</v>
      </c>
      <c r="O9" s="65" t="s">
        <v>12</v>
      </c>
      <c r="P9" s="3" t="s">
        <v>13</v>
      </c>
      <c r="Q9" s="3" t="s">
        <v>14</v>
      </c>
      <c r="R9" s="3" t="s">
        <v>15</v>
      </c>
      <c r="S9" s="71" t="s">
        <v>78</v>
      </c>
      <c r="T9" s="180" t="s">
        <v>4</v>
      </c>
    </row>
    <row r="10" spans="1:20" ht="17.25" customHeight="1" thickBot="1" x14ac:dyDescent="0.3">
      <c r="A10" s="69" t="s">
        <v>66</v>
      </c>
      <c r="B10" s="156">
        <v>1</v>
      </c>
      <c r="C10" s="66">
        <v>2</v>
      </c>
      <c r="D10" s="82">
        <v>3</v>
      </c>
      <c r="E10" s="5">
        <v>4</v>
      </c>
      <c r="F10" s="82">
        <v>5</v>
      </c>
      <c r="G10" s="100">
        <v>6</v>
      </c>
      <c r="H10" s="69">
        <v>7</v>
      </c>
      <c r="I10" s="5">
        <v>8</v>
      </c>
      <c r="J10" s="82">
        <v>9</v>
      </c>
      <c r="K10" s="100">
        <v>10</v>
      </c>
      <c r="L10" s="69">
        <v>11</v>
      </c>
      <c r="M10" s="5">
        <v>12</v>
      </c>
      <c r="N10" s="156">
        <v>13</v>
      </c>
      <c r="O10" s="66">
        <v>14</v>
      </c>
      <c r="P10" s="82">
        <v>15</v>
      </c>
      <c r="Q10" s="5">
        <v>16</v>
      </c>
      <c r="R10" s="82">
        <v>17</v>
      </c>
      <c r="S10" s="100">
        <v>18</v>
      </c>
      <c r="T10" s="181">
        <v>19</v>
      </c>
    </row>
    <row r="11" spans="1:20" ht="25.5" x14ac:dyDescent="0.25">
      <c r="A11" s="154" t="s">
        <v>16</v>
      </c>
      <c r="B11" s="169">
        <f>'2022'!B12</f>
        <v>88</v>
      </c>
      <c r="C11" s="176">
        <v>8</v>
      </c>
      <c r="D11" s="6">
        <v>22</v>
      </c>
      <c r="E11" s="6">
        <v>21</v>
      </c>
      <c r="F11" s="6">
        <v>20</v>
      </c>
      <c r="G11" s="73">
        <f>ROUND((B11*$G$3*C11*D11),2)+ROUND((B11*$G$3*C11*E11),2)+ROUND((B11*$G$3*C11*F11),2)-ROUND((SUM(D7:F7)*G3*B11),2)</f>
        <v>199188</v>
      </c>
      <c r="H11" s="67">
        <v>21</v>
      </c>
      <c r="I11" s="6">
        <v>21</v>
      </c>
      <c r="J11" s="6">
        <v>19</v>
      </c>
      <c r="K11" s="73">
        <f>ROUND((B11*$G$3*C11*H11),2)+ROUND((B11*$G$3*C11*I11),2)+ROUND((B11*$G$3*C11*J11),2)-ROUND((SUM(H7:J7)*G3*B11),2)</f>
        <v>192456</v>
      </c>
      <c r="L11" s="67">
        <v>23</v>
      </c>
      <c r="M11" s="6">
        <v>22</v>
      </c>
      <c r="N11" s="73">
        <f t="shared" ref="N11:N16" si="0">ROUND((B11*$G$3*C11*L11),2)+ROUND((B11*$G$3*C11*M11),2)</f>
        <v>142560</v>
      </c>
      <c r="O11" s="67">
        <v>21</v>
      </c>
      <c r="P11" s="6">
        <v>23</v>
      </c>
      <c r="Q11" s="6">
        <v>20</v>
      </c>
      <c r="R11" s="6">
        <v>18</v>
      </c>
      <c r="S11" s="73">
        <f>ROUND((B11*$G$3*C11*O11),2)+ROUND((B11*$G$3*C11*P11),2)+ROUND((B11*$G$3*C11*Q11),2)+ROUND((B11*$G$3*C11*R11),2)-ROUND((SUM(O7:R7)*G3*B11),2)</f>
        <v>258984</v>
      </c>
      <c r="T11" s="113">
        <f>G11+K11+N11+S11</f>
        <v>793188</v>
      </c>
    </row>
    <row r="12" spans="1:20" x14ac:dyDescent="0.25">
      <c r="A12" s="149" t="s">
        <v>17</v>
      </c>
      <c r="B12" s="170">
        <f>'2022'!B13</f>
        <v>33</v>
      </c>
      <c r="C12" s="177">
        <v>8</v>
      </c>
      <c r="D12" s="11">
        <v>18</v>
      </c>
      <c r="E12" s="8">
        <v>16</v>
      </c>
      <c r="F12" s="8">
        <v>15</v>
      </c>
      <c r="G12" s="86">
        <f>ROUND((B12*$G$3*C12*D12),2)+ROUND((B12*$G$3*C12*E12),2)+ROUND((B12*$G$3*C12*F12),2)-ROUND((SUM(D7:F7)*G3*B12),2)</f>
        <v>58063.5</v>
      </c>
      <c r="H12" s="68">
        <v>21</v>
      </c>
      <c r="I12" s="11">
        <v>21</v>
      </c>
      <c r="J12" s="8">
        <v>0</v>
      </c>
      <c r="K12" s="86">
        <f>ROUND((B12*$G$3*C12*H12),2)+ROUND((B12*$G$3*C12*I12),2)+ROUND((B12*$G$3*C12*J12),2)-ROUND((SUM(H7:I7)*G3*B12),2)</f>
        <v>49599</v>
      </c>
      <c r="L12" s="74">
        <v>0</v>
      </c>
      <c r="M12" s="8">
        <v>0</v>
      </c>
      <c r="N12" s="86">
        <f t="shared" si="0"/>
        <v>0</v>
      </c>
      <c r="O12" s="68">
        <v>21</v>
      </c>
      <c r="P12" s="8">
        <v>18</v>
      </c>
      <c r="Q12" s="11">
        <v>20</v>
      </c>
      <c r="R12" s="8">
        <v>15</v>
      </c>
      <c r="S12" s="86">
        <f t="shared" ref="S11:S16" si="1">ROUND((B12*$G$3*C12*O12),2)+ROUND((B12*$G$3*C12*P12),2)+ROUND((B12*$G$3*C12*Q12),2)+ROUND((B12*$G$3*C12*R12),2)</f>
        <v>87912</v>
      </c>
      <c r="T12" s="114">
        <f t="shared" ref="T12:T22" si="2">G12+K12+N12+S12</f>
        <v>195574.5</v>
      </c>
    </row>
    <row r="13" spans="1:20" ht="20.25" customHeight="1" x14ac:dyDescent="0.25">
      <c r="A13" s="150" t="s">
        <v>18</v>
      </c>
      <c r="B13" s="170">
        <f>'2022'!B14+30+30</f>
        <v>243</v>
      </c>
      <c r="C13" s="177">
        <v>8</v>
      </c>
      <c r="D13" s="11">
        <v>18</v>
      </c>
      <c r="E13" s="8">
        <v>20</v>
      </c>
      <c r="F13" s="8">
        <v>15</v>
      </c>
      <c r="G13" s="86">
        <f>ROUND((B13*$G$3*C13*D13),2)+ROUND((B13*$G$3*C13*E13),2)+ROUND((B13*$G$3*C13*F13),2)-ROUND((SUM(D7:F7)*G3*B13),2)</f>
        <v>462550.5</v>
      </c>
      <c r="H13" s="68">
        <v>21</v>
      </c>
      <c r="I13" s="11">
        <v>21</v>
      </c>
      <c r="J13" s="8">
        <v>0</v>
      </c>
      <c r="K13" s="86">
        <f>ROUND((B13*$G$3*C13*H13),2)+ROUND((B13*$G$3*C13*I13),2)+ROUND((B13*$G$3*C13*J13),2)-ROUND((SUM(H7:I7)*G3*B13),2)</f>
        <v>365229</v>
      </c>
      <c r="L13" s="74">
        <v>0</v>
      </c>
      <c r="M13" s="8">
        <v>0</v>
      </c>
      <c r="N13" s="86">
        <f t="shared" si="0"/>
        <v>0</v>
      </c>
      <c r="O13" s="68">
        <v>21</v>
      </c>
      <c r="P13" s="8">
        <v>18</v>
      </c>
      <c r="Q13" s="11">
        <v>20</v>
      </c>
      <c r="R13" s="8">
        <v>15</v>
      </c>
      <c r="S13" s="86">
        <f t="shared" si="1"/>
        <v>647352</v>
      </c>
      <c r="T13" s="114">
        <f t="shared" si="2"/>
        <v>1475131.5</v>
      </c>
    </row>
    <row r="14" spans="1:20" x14ac:dyDescent="0.25">
      <c r="A14" s="149" t="s">
        <v>19</v>
      </c>
      <c r="B14" s="170">
        <f>'2022'!B15</f>
        <v>11</v>
      </c>
      <c r="C14" s="177">
        <v>8</v>
      </c>
      <c r="D14" s="11">
        <v>18</v>
      </c>
      <c r="E14" s="8">
        <v>20</v>
      </c>
      <c r="F14" s="8">
        <v>15</v>
      </c>
      <c r="G14" s="86">
        <f>ROUND((B14*$G$3*C14*D14),2)+ROUND((B14*$G$3*C14*E14),2)+ROUND((B14*$G$3*C14*F14),2)-ROUND((SUM(D7:F7)*G3*B14),2)</f>
        <v>20938.5</v>
      </c>
      <c r="H14" s="68">
        <v>21</v>
      </c>
      <c r="I14" s="11">
        <v>21</v>
      </c>
      <c r="J14" s="8">
        <v>10</v>
      </c>
      <c r="K14" s="86">
        <f>ROUND((B14*$G$3*C14*H14),2)+ROUND((B14*$G$3*C14*I14),2)+ROUND((B14*$G$3*C14*J14),2)-ROUND((SUM(H7:I7)*G3*B14),2)</f>
        <v>20493</v>
      </c>
      <c r="L14" s="74">
        <v>0</v>
      </c>
      <c r="M14" s="8">
        <v>0</v>
      </c>
      <c r="N14" s="86">
        <f t="shared" si="0"/>
        <v>0</v>
      </c>
      <c r="O14" s="68">
        <v>21</v>
      </c>
      <c r="P14" s="8">
        <v>18</v>
      </c>
      <c r="Q14" s="11">
        <v>20</v>
      </c>
      <c r="R14" s="8">
        <v>15</v>
      </c>
      <c r="S14" s="86">
        <f t="shared" si="1"/>
        <v>29304</v>
      </c>
      <c r="T14" s="114">
        <f t="shared" si="2"/>
        <v>70735.5</v>
      </c>
    </row>
    <row r="15" spans="1:20" x14ac:dyDescent="0.25">
      <c r="A15" s="149" t="s">
        <v>20</v>
      </c>
      <c r="B15" s="170">
        <f>'2022'!B16</f>
        <v>3</v>
      </c>
      <c r="C15" s="177">
        <v>8</v>
      </c>
      <c r="D15" s="11">
        <v>18</v>
      </c>
      <c r="E15" s="8">
        <v>20</v>
      </c>
      <c r="F15" s="8">
        <v>15</v>
      </c>
      <c r="G15" s="86">
        <f>ROUND((B15*$G$3*C15*D15),2)+ROUND((B15*$G$3*C15*E15),2)+ROUND((B15*$G$3*C15*F15),2)-ROUND((SUM(D7:F7)*G3*B15),2)</f>
        <v>5710.5</v>
      </c>
      <c r="H15" s="68">
        <v>21</v>
      </c>
      <c r="I15" s="11">
        <v>21</v>
      </c>
      <c r="J15" s="8">
        <v>15</v>
      </c>
      <c r="K15" s="86">
        <f>ROUND((B15*$G$3*C15*H15),2)+ROUND((B15*$G$3*C15*I15),2)+ROUND((B15*$G$3*C15*J15),2)-ROUND((SUM(H7:I7)*G3*B15),2)</f>
        <v>6129</v>
      </c>
      <c r="L15" s="74">
        <v>0</v>
      </c>
      <c r="M15" s="8">
        <v>0</v>
      </c>
      <c r="N15" s="86">
        <f t="shared" si="0"/>
        <v>0</v>
      </c>
      <c r="O15" s="68">
        <v>21</v>
      </c>
      <c r="P15" s="8">
        <v>18</v>
      </c>
      <c r="Q15" s="11">
        <v>20</v>
      </c>
      <c r="R15" s="8">
        <v>15</v>
      </c>
      <c r="S15" s="86">
        <f t="shared" si="1"/>
        <v>7992</v>
      </c>
      <c r="T15" s="114">
        <f t="shared" si="2"/>
        <v>19831.5</v>
      </c>
    </row>
    <row r="16" spans="1:20" x14ac:dyDescent="0.25">
      <c r="A16" s="149" t="s">
        <v>21</v>
      </c>
      <c r="B16" s="170">
        <f>'2022'!B17</f>
        <v>4</v>
      </c>
      <c r="C16" s="177">
        <v>8</v>
      </c>
      <c r="D16" s="8">
        <f>D11</f>
        <v>22</v>
      </c>
      <c r="E16" s="8">
        <f t="shared" ref="E16:F16" si="3">E11</f>
        <v>21</v>
      </c>
      <c r="F16" s="8">
        <f t="shared" si="3"/>
        <v>20</v>
      </c>
      <c r="G16" s="86">
        <f>ROUND((B16*$G$3*C16*D16),2)+ROUND((B16*$G$3*C16*E16),2)+ROUND((B16*$G$3*C16*F16),2)-ROUND((SUM(D7:F7)*G3*B16),2)</f>
        <v>9054</v>
      </c>
      <c r="H16" s="68">
        <f>H11</f>
        <v>21</v>
      </c>
      <c r="I16" s="11">
        <f t="shared" ref="I16:J16" si="4">I11</f>
        <v>21</v>
      </c>
      <c r="J16" s="11">
        <f t="shared" si="4"/>
        <v>19</v>
      </c>
      <c r="K16" s="86">
        <f>ROUND((B16*$G$3*C16*H16),2)+ROUND((B16*$G$3*C16*I16),2)+ROUND((B16*$G$3*C16*J16),2)-ROUND((SUM(H7:J7)*G3*B16),2)</f>
        <v>8748</v>
      </c>
      <c r="L16" s="68">
        <f>L11</f>
        <v>23</v>
      </c>
      <c r="M16" s="11">
        <f>M11</f>
        <v>22</v>
      </c>
      <c r="N16" s="86">
        <f t="shared" si="0"/>
        <v>6480</v>
      </c>
      <c r="O16" s="68">
        <v>21</v>
      </c>
      <c r="P16" s="11">
        <f t="shared" ref="P16:R16" si="5">P11</f>
        <v>23</v>
      </c>
      <c r="Q16" s="11">
        <v>20</v>
      </c>
      <c r="R16" s="11">
        <f t="shared" si="5"/>
        <v>18</v>
      </c>
      <c r="S16" s="86">
        <f>ROUND((B16*$G$3*C16*O16),2)+ROUND((B16*$G$3*C16*P16),2)+ROUND((B16*$G$3*C16*Q16),2)+ROUND((B16*$G$3*C16*R16),2)-ROUND((SUM(O7:R7)*G3*B16),2)</f>
        <v>11772</v>
      </c>
      <c r="T16" s="114">
        <f t="shared" si="2"/>
        <v>36054</v>
      </c>
    </row>
    <row r="17" spans="1:20" s="37" customFormat="1" ht="15.75" thickBot="1" x14ac:dyDescent="0.3">
      <c r="A17" s="151" t="s">
        <v>22</v>
      </c>
      <c r="B17" s="171"/>
      <c r="C17" s="178"/>
      <c r="D17" s="76"/>
      <c r="E17" s="76"/>
      <c r="F17" s="76"/>
      <c r="G17" s="24"/>
      <c r="H17" s="80"/>
      <c r="I17" s="76"/>
      <c r="J17" s="76"/>
      <c r="K17" s="87"/>
      <c r="L17" s="80"/>
      <c r="M17" s="76"/>
      <c r="N17" s="87"/>
      <c r="O17" s="80"/>
      <c r="P17" s="76"/>
      <c r="Q17" s="76"/>
      <c r="R17" s="76"/>
      <c r="S17" s="87"/>
      <c r="T17" s="184"/>
    </row>
    <row r="18" spans="1:20" ht="25.5" x14ac:dyDescent="0.25">
      <c r="A18" s="148" t="s">
        <v>23</v>
      </c>
      <c r="B18" s="172">
        <f>'2022'!B19</f>
        <v>22</v>
      </c>
      <c r="C18" s="177">
        <v>8</v>
      </c>
      <c r="D18" s="11">
        <f>D11</f>
        <v>22</v>
      </c>
      <c r="E18" s="11">
        <f t="shared" ref="E18:F18" si="6">E11</f>
        <v>21</v>
      </c>
      <c r="F18" s="11">
        <f t="shared" si="6"/>
        <v>20</v>
      </c>
      <c r="G18" s="86">
        <f>ROUND((B18*$G$3*C18*D18),2)+ROUND((B18*$G$3*C18*E18),2)+ROUND((B18*$G$3*C18*F18),2)-ROUND((SUM(D7:F7)*G3*B18),2)</f>
        <v>49797</v>
      </c>
      <c r="H18" s="68">
        <f>H11</f>
        <v>21</v>
      </c>
      <c r="I18" s="11">
        <f t="shared" ref="I18:J18" si="7">I11</f>
        <v>21</v>
      </c>
      <c r="J18" s="11">
        <f t="shared" si="7"/>
        <v>19</v>
      </c>
      <c r="K18" s="86">
        <f>ROUND((B18*$G$3*C18*H18),2)+ROUND((B18*$G$3*C18*I18),2)+ROUND((B18*$G$3*C18*J18),2)-ROUND((SUM(H7:J7)*G3*B18),2)</f>
        <v>48114</v>
      </c>
      <c r="L18" s="68">
        <f>L11</f>
        <v>23</v>
      </c>
      <c r="M18" s="11">
        <f>M11</f>
        <v>22</v>
      </c>
      <c r="N18" s="86">
        <f>ROUND((B18*$G$3*C18*L18),2)+ROUND((B18*$G$3*C18*M18),2)</f>
        <v>35640</v>
      </c>
      <c r="O18" s="68">
        <f>O11</f>
        <v>21</v>
      </c>
      <c r="P18" s="11">
        <f t="shared" ref="P18:R18" si="8">P11</f>
        <v>23</v>
      </c>
      <c r="Q18" s="11">
        <f t="shared" si="8"/>
        <v>20</v>
      </c>
      <c r="R18" s="11">
        <f t="shared" si="8"/>
        <v>18</v>
      </c>
      <c r="S18" s="12">
        <f>ROUND((B18*$G$3*C18*O18),2)+ROUND((B18*$G$3*C18*P18),2)+ROUND((B18*$G$3*C18*Q18),2)+ROUND((B18*$G$3*C18*R18),2)-ROUND((SUM(O7:R7)*G3*B18),2)</f>
        <v>64746</v>
      </c>
      <c r="T18" s="185">
        <f t="shared" si="2"/>
        <v>198297</v>
      </c>
    </row>
    <row r="19" spans="1:20" x14ac:dyDescent="0.25">
      <c r="A19" s="149" t="s">
        <v>17</v>
      </c>
      <c r="B19" s="172">
        <f>'2022'!B20</f>
        <v>3</v>
      </c>
      <c r="C19" s="177">
        <v>8</v>
      </c>
      <c r="D19" s="11">
        <f t="shared" ref="D19:F22" si="9">D12</f>
        <v>18</v>
      </c>
      <c r="E19" s="11">
        <f t="shared" si="9"/>
        <v>16</v>
      </c>
      <c r="F19" s="11">
        <f t="shared" si="9"/>
        <v>15</v>
      </c>
      <c r="G19" s="86">
        <f>ROUND((B19*$G$3*C19*D19),2)+ROUND((B19*$G$3*C19*E19),2)+ROUND((B19*$G$3*C19*F19),2)-ROUND((SUM(D7:F7)*G3*B19),2)</f>
        <v>5278.5</v>
      </c>
      <c r="H19" s="68">
        <f t="shared" ref="H19:J22" si="10">H12</f>
        <v>21</v>
      </c>
      <c r="I19" s="11">
        <f t="shared" si="10"/>
        <v>21</v>
      </c>
      <c r="J19" s="11">
        <f t="shared" si="10"/>
        <v>0</v>
      </c>
      <c r="K19" s="86">
        <f>ROUND((B19*$G$3*C19*H19),2)+ROUND((B19*$G$3*C19*I19),2)+ROUND((B19*$G$3*C19*J19),2)-ROUND((SUM(H7:I7)*G3*B19),2)</f>
        <v>4509</v>
      </c>
      <c r="L19" s="68">
        <f t="shared" ref="L19:M22" si="11">L12</f>
        <v>0</v>
      </c>
      <c r="M19" s="11">
        <f t="shared" si="11"/>
        <v>0</v>
      </c>
      <c r="N19" s="86">
        <f>ROUND((B19*$G$3*C19*L19),2)+ROUND((B19*$G$3*C19*M19),2)</f>
        <v>0</v>
      </c>
      <c r="O19" s="68">
        <f t="shared" ref="O19:R22" si="12">O12</f>
        <v>21</v>
      </c>
      <c r="P19" s="11">
        <f t="shared" si="12"/>
        <v>18</v>
      </c>
      <c r="Q19" s="11">
        <f t="shared" si="12"/>
        <v>20</v>
      </c>
      <c r="R19" s="11">
        <f t="shared" si="12"/>
        <v>15</v>
      </c>
      <c r="S19" s="12">
        <f>ROUND((B19*$G$3*C19*O19),2)+ROUND((B19*$G$3*C19*P19),2)+ROUND((B19*$G$3*C19*Q19),2)+ROUND((B19*$G$3*C19*R19),2)</f>
        <v>7992</v>
      </c>
      <c r="T19" s="186">
        <f t="shared" si="2"/>
        <v>17779.5</v>
      </c>
    </row>
    <row r="20" spans="1:20" ht="30" x14ac:dyDescent="0.25">
      <c r="A20" s="149" t="s">
        <v>18</v>
      </c>
      <c r="B20" s="172">
        <f>'2022'!B21</f>
        <v>15</v>
      </c>
      <c r="C20" s="177">
        <v>8</v>
      </c>
      <c r="D20" s="11">
        <f t="shared" si="9"/>
        <v>18</v>
      </c>
      <c r="E20" s="11">
        <f t="shared" si="9"/>
        <v>20</v>
      </c>
      <c r="F20" s="11">
        <f t="shared" si="9"/>
        <v>15</v>
      </c>
      <c r="G20" s="86">
        <f>ROUND((B20*$G$3*C20*D20),2)+ROUND((B20*$G$3*C20*E20),2)+ROUND((B20*$G$3*C20*F20),2)-ROUND((SUM(D7:F7)*G3*B20),2)</f>
        <v>28552.5</v>
      </c>
      <c r="H20" s="68">
        <f t="shared" si="10"/>
        <v>21</v>
      </c>
      <c r="I20" s="11">
        <f t="shared" si="10"/>
        <v>21</v>
      </c>
      <c r="J20" s="11">
        <f t="shared" si="10"/>
        <v>0</v>
      </c>
      <c r="K20" s="86">
        <f>ROUND((B20*$G$3*C20*H20),2)+ROUND((B20*$G$3*C20*I20),2)+ROUND((B20*$G$3*C20*J20),2)-ROUND((SUM(H7:I7)*G3*B20),2)</f>
        <v>22545</v>
      </c>
      <c r="L20" s="68">
        <f t="shared" si="11"/>
        <v>0</v>
      </c>
      <c r="M20" s="11">
        <f t="shared" si="11"/>
        <v>0</v>
      </c>
      <c r="N20" s="86">
        <f>ROUND((B20*$G$3*C20*L20),2)+ROUND((B20*$G$3*C20*M20),2)</f>
        <v>0</v>
      </c>
      <c r="O20" s="68">
        <f t="shared" si="12"/>
        <v>21</v>
      </c>
      <c r="P20" s="11">
        <f t="shared" si="12"/>
        <v>18</v>
      </c>
      <c r="Q20" s="11">
        <f t="shared" si="12"/>
        <v>20</v>
      </c>
      <c r="R20" s="11">
        <f t="shared" si="12"/>
        <v>15</v>
      </c>
      <c r="S20" s="12">
        <f>ROUND((B20*$G$3*C20*O20),2)+ROUND((B20*$G$3*C20*P20),2)+ROUND((B20*$G$3*C20*Q20),2)+ROUND((B20*$G$3*C20*R20),2)</f>
        <v>39960</v>
      </c>
      <c r="T20" s="186">
        <f t="shared" si="2"/>
        <v>91057.5</v>
      </c>
    </row>
    <row r="21" spans="1:20" x14ac:dyDescent="0.25">
      <c r="A21" s="149" t="s">
        <v>19</v>
      </c>
      <c r="B21" s="173"/>
      <c r="C21" s="177">
        <v>8</v>
      </c>
      <c r="D21" s="11">
        <f t="shared" si="9"/>
        <v>18</v>
      </c>
      <c r="E21" s="11">
        <f t="shared" si="9"/>
        <v>20</v>
      </c>
      <c r="F21" s="11">
        <f t="shared" si="9"/>
        <v>15</v>
      </c>
      <c r="G21" s="86">
        <f>ROUND((B21*$G$3*C21*D21),2)+ROUND((B21*$G$3*C21*E21),2)+ROUND((B21*$G$3*C21*F21),2)</f>
        <v>0</v>
      </c>
      <c r="H21" s="68">
        <f t="shared" si="10"/>
        <v>21</v>
      </c>
      <c r="I21" s="11">
        <f t="shared" si="10"/>
        <v>21</v>
      </c>
      <c r="J21" s="11">
        <f t="shared" si="10"/>
        <v>10</v>
      </c>
      <c r="K21" s="86">
        <f>ROUND((B21*$G$3*C21*H21),2)+ROUND((B21*$G$3*C21*I21),2)+ROUND((B21*$G$3*C21*J21),2)</f>
        <v>0</v>
      </c>
      <c r="L21" s="68">
        <f t="shared" si="11"/>
        <v>0</v>
      </c>
      <c r="M21" s="11">
        <f t="shared" si="11"/>
        <v>0</v>
      </c>
      <c r="N21" s="86">
        <f>ROUND((B21*$G$3*C21*L21),2)+ROUND((B21*$G$3*C21*M21),2)</f>
        <v>0</v>
      </c>
      <c r="O21" s="68">
        <f t="shared" si="12"/>
        <v>21</v>
      </c>
      <c r="P21" s="11">
        <f t="shared" si="12"/>
        <v>18</v>
      </c>
      <c r="Q21" s="11">
        <f t="shared" si="12"/>
        <v>20</v>
      </c>
      <c r="R21" s="11">
        <f t="shared" si="12"/>
        <v>15</v>
      </c>
      <c r="S21" s="12">
        <f>ROUND((B21*$G$3*C21*O21),2)+ROUND((B21*$G$3*C21*P21),2)+ROUND((B21*$G$3*C21*Q21),2)+ROUND((B21*$G$3*C21*R21),2)</f>
        <v>0</v>
      </c>
      <c r="T21" s="186">
        <f t="shared" si="2"/>
        <v>0</v>
      </c>
    </row>
    <row r="22" spans="1:20" ht="15.75" thickBot="1" x14ac:dyDescent="0.3">
      <c r="A22" s="152" t="s">
        <v>20</v>
      </c>
      <c r="B22" s="174"/>
      <c r="C22" s="179">
        <v>8</v>
      </c>
      <c r="D22" s="82">
        <f t="shared" si="9"/>
        <v>18</v>
      </c>
      <c r="E22" s="82">
        <f t="shared" si="9"/>
        <v>20</v>
      </c>
      <c r="F22" s="82">
        <f t="shared" si="9"/>
        <v>15</v>
      </c>
      <c r="G22" s="88">
        <f>ROUND((B22*$G$3*C22*D22),2)+ROUND((B22*$G$3*C22*E22),2)+ROUND((B22*$G$3*C22*F22),2)</f>
        <v>0</v>
      </c>
      <c r="H22" s="69">
        <f t="shared" si="10"/>
        <v>21</v>
      </c>
      <c r="I22" s="82">
        <f t="shared" si="10"/>
        <v>21</v>
      </c>
      <c r="J22" s="82">
        <f>J15</f>
        <v>15</v>
      </c>
      <c r="K22" s="88">
        <f>ROUND((B22*$G$3*C22*H22),2)+ROUND((B22*$G$3*C22*I22),2)+ROUND((B22*$G$3*C22*J22),2)</f>
        <v>0</v>
      </c>
      <c r="L22" s="69">
        <f t="shared" si="11"/>
        <v>0</v>
      </c>
      <c r="M22" s="82">
        <f t="shared" si="11"/>
        <v>0</v>
      </c>
      <c r="N22" s="88">
        <f>ROUND((B22*$G$3*C22*L22),2)+ROUND((B22*$G$3*C22*M22),2)</f>
        <v>0</v>
      </c>
      <c r="O22" s="69">
        <f t="shared" si="12"/>
        <v>21</v>
      </c>
      <c r="P22" s="82">
        <f t="shared" si="12"/>
        <v>18</v>
      </c>
      <c r="Q22" s="82">
        <f t="shared" si="12"/>
        <v>20</v>
      </c>
      <c r="R22" s="82">
        <f t="shared" si="12"/>
        <v>15</v>
      </c>
      <c r="S22" s="182">
        <f>ROUND((B22*$G$3*C22*O22),2)+ROUND((B22*$G$3*C22*P22),2)+ROUND((B22*$G$3*C22*Q22),2)+ROUND((B22*$G$3*C22*R22),2)</f>
        <v>0</v>
      </c>
      <c r="T22" s="187">
        <f t="shared" si="2"/>
        <v>0</v>
      </c>
    </row>
    <row r="23" spans="1:20" ht="19.5" thickBot="1" x14ac:dyDescent="0.35">
      <c r="B23" s="13">
        <f>SUM(B11:B22)</f>
        <v>422</v>
      </c>
      <c r="G23" s="14">
        <f>SUM(G11:G22)</f>
        <v>839133</v>
      </c>
      <c r="K23" s="14">
        <f>SUM(K11:K22)</f>
        <v>717822</v>
      </c>
      <c r="N23" s="14">
        <f>SUM(N11:N22)</f>
        <v>184680</v>
      </c>
      <c r="S23" s="14">
        <f>SUM(S11:S22)</f>
        <v>1156014</v>
      </c>
      <c r="T23" s="117">
        <f>SUM(T11:T22)</f>
        <v>2897649</v>
      </c>
    </row>
    <row r="24" spans="1:20" ht="18.75" x14ac:dyDescent="0.3">
      <c r="B24" s="13"/>
      <c r="G24" s="14"/>
      <c r="K24" s="14"/>
      <c r="N24" s="14"/>
      <c r="S24" s="14"/>
      <c r="T24" s="15"/>
    </row>
    <row r="25" spans="1:20" x14ac:dyDescent="0.25">
      <c r="H25" s="195"/>
      <c r="I25" s="195"/>
      <c r="J25" s="195"/>
      <c r="K25" s="195"/>
    </row>
    <row r="26" spans="1:20" ht="90" x14ac:dyDescent="0.25">
      <c r="J26" s="38"/>
      <c r="K26" s="38"/>
      <c r="L26" s="38"/>
      <c r="N26" s="23"/>
      <c r="O26" s="31" t="s">
        <v>32</v>
      </c>
      <c r="P26" s="31" t="s">
        <v>31</v>
      </c>
      <c r="Q26" s="189" t="s">
        <v>34</v>
      </c>
      <c r="R26" s="31" t="s">
        <v>39</v>
      </c>
      <c r="S26" s="31" t="s">
        <v>40</v>
      </c>
      <c r="T26" s="31" t="s">
        <v>33</v>
      </c>
    </row>
    <row r="27" spans="1:20" ht="15" customHeight="1" x14ac:dyDescent="0.25">
      <c r="A27" s="29"/>
      <c r="B27" s="21"/>
      <c r="C27" s="118"/>
      <c r="D27" s="56"/>
      <c r="E27" s="56"/>
      <c r="F27" s="56"/>
      <c r="G27" s="56"/>
      <c r="H27" s="56"/>
      <c r="I27" s="29"/>
      <c r="J27" s="199"/>
      <c r="K27" s="199"/>
      <c r="L27" s="199"/>
      <c r="N27" s="23"/>
      <c r="O27" s="159">
        <v>1</v>
      </c>
      <c r="P27" s="159">
        <v>2</v>
      </c>
      <c r="Q27" s="159">
        <v>3</v>
      </c>
      <c r="R27" s="159">
        <v>4</v>
      </c>
      <c r="S27" s="159" t="s">
        <v>68</v>
      </c>
      <c r="T27" s="190" t="s">
        <v>69</v>
      </c>
    </row>
    <row r="28" spans="1:20" ht="30" x14ac:dyDescent="0.25">
      <c r="B28" s="119"/>
      <c r="C28" s="137"/>
      <c r="D28" s="138"/>
      <c r="E28" s="138"/>
      <c r="F28" s="121"/>
      <c r="G28" s="19"/>
      <c r="I28" s="34"/>
      <c r="J28" s="29"/>
      <c r="N28" s="58" t="s">
        <v>57</v>
      </c>
      <c r="O28" s="162">
        <v>1031876</v>
      </c>
      <c r="P28" s="188">
        <f>T23</f>
        <v>2897649</v>
      </c>
      <c r="Q28" s="191">
        <f>O28-P28</f>
        <v>-1865773</v>
      </c>
      <c r="R28" s="160">
        <v>0.75</v>
      </c>
      <c r="S28" s="54">
        <f>P28*R28</f>
        <v>2173236.75</v>
      </c>
      <c r="T28" s="161">
        <f>O28-S28</f>
        <v>-1141360.75</v>
      </c>
    </row>
    <row r="29" spans="1:20" x14ac:dyDescent="0.25">
      <c r="B29" s="19"/>
      <c r="C29" s="122"/>
      <c r="D29" s="138"/>
      <c r="E29" s="138"/>
      <c r="F29" s="121"/>
      <c r="G29" s="19"/>
      <c r="H29" s="62"/>
      <c r="I29" s="34"/>
      <c r="J29" s="29"/>
      <c r="K29" s="29"/>
    </row>
    <row r="30" spans="1:20" x14ac:dyDescent="0.25">
      <c r="B30" s="19"/>
      <c r="C30" s="122"/>
      <c r="D30" s="138"/>
      <c r="E30" s="138"/>
      <c r="F30" s="121"/>
      <c r="G30" s="19"/>
      <c r="H30" s="62"/>
      <c r="I30" s="34"/>
      <c r="J30" s="29"/>
      <c r="K30" s="29"/>
    </row>
    <row r="31" spans="1:20" x14ac:dyDescent="0.25">
      <c r="B31" s="19"/>
      <c r="C31" s="123"/>
      <c r="D31" s="166"/>
      <c r="E31" s="139"/>
      <c r="F31" s="139"/>
      <c r="G31" s="138"/>
      <c r="H31" s="62"/>
      <c r="I31" s="34"/>
      <c r="J31" s="29"/>
      <c r="K31" s="29"/>
    </row>
    <row r="32" spans="1:20" x14ac:dyDescent="0.25">
      <c r="B32" s="19"/>
      <c r="C32" s="137"/>
      <c r="D32" s="138"/>
      <c r="E32" s="138"/>
      <c r="F32" s="138"/>
      <c r="G32" s="19"/>
      <c r="H32" s="62"/>
      <c r="I32" s="34"/>
      <c r="J32" s="29"/>
      <c r="K32" s="29"/>
    </row>
    <row r="33" spans="2:17" x14ac:dyDescent="0.25">
      <c r="B33" s="19"/>
      <c r="C33" s="122"/>
      <c r="D33" s="138"/>
      <c r="E33" s="138"/>
      <c r="F33" s="138"/>
      <c r="G33" s="19"/>
      <c r="H33" s="62"/>
      <c r="I33" s="34"/>
      <c r="J33" s="29"/>
      <c r="K33" s="29"/>
    </row>
    <row r="34" spans="2:17" x14ac:dyDescent="0.25">
      <c r="B34" s="19"/>
      <c r="C34" s="122"/>
      <c r="D34" s="138"/>
      <c r="E34" s="138"/>
      <c r="F34" s="138"/>
      <c r="G34" s="19"/>
      <c r="H34" s="62"/>
      <c r="I34" s="34"/>
      <c r="J34" s="29"/>
      <c r="K34" s="29"/>
    </row>
    <row r="35" spans="2:17" x14ac:dyDescent="0.25">
      <c r="B35" s="19"/>
      <c r="C35" s="123"/>
      <c r="D35" s="139"/>
      <c r="E35" s="139"/>
      <c r="F35" s="139"/>
      <c r="G35" s="138"/>
      <c r="H35" s="62"/>
      <c r="I35" s="34"/>
      <c r="J35" s="29"/>
      <c r="K35" s="29"/>
    </row>
    <row r="36" spans="2:17" x14ac:dyDescent="0.25">
      <c r="B36" s="19"/>
      <c r="C36" s="137"/>
      <c r="D36" s="138"/>
      <c r="E36" s="138"/>
      <c r="F36" s="138"/>
      <c r="G36" s="19"/>
      <c r="H36" s="62"/>
      <c r="I36" s="34"/>
      <c r="J36" s="29"/>
      <c r="K36" s="29"/>
    </row>
    <row r="37" spans="2:17" x14ac:dyDescent="0.25">
      <c r="B37" s="19"/>
      <c r="C37" s="122"/>
      <c r="D37" s="138"/>
      <c r="E37" s="138"/>
      <c r="F37" s="138"/>
      <c r="G37" s="19"/>
      <c r="H37" s="62"/>
      <c r="I37" s="34"/>
      <c r="J37" s="29"/>
      <c r="K37" s="29"/>
    </row>
    <row r="38" spans="2:17" x14ac:dyDescent="0.25">
      <c r="B38" s="19"/>
      <c r="C38" s="122"/>
      <c r="D38" s="138"/>
      <c r="E38" s="138"/>
      <c r="F38" s="138"/>
      <c r="G38" s="19"/>
      <c r="H38" s="62"/>
      <c r="I38" s="34"/>
      <c r="J38" s="29"/>
      <c r="K38" s="29"/>
    </row>
    <row r="39" spans="2:17" x14ac:dyDescent="0.25">
      <c r="B39" s="19"/>
      <c r="C39" s="123"/>
      <c r="D39" s="139"/>
      <c r="E39" s="139"/>
      <c r="F39" s="139"/>
      <c r="G39" s="138"/>
      <c r="H39" s="62"/>
      <c r="I39" s="34"/>
      <c r="J39" s="29"/>
      <c r="K39" s="29"/>
    </row>
    <row r="40" spans="2:17" x14ac:dyDescent="0.25">
      <c r="B40" s="19"/>
      <c r="C40" s="137"/>
      <c r="D40" s="138"/>
      <c r="E40" s="138"/>
      <c r="F40" s="138"/>
      <c r="G40" s="19"/>
    </row>
    <row r="41" spans="2:17" ht="46.5" customHeight="1" x14ac:dyDescent="0.25">
      <c r="B41" s="19"/>
      <c r="C41" s="122"/>
      <c r="D41" s="138"/>
      <c r="E41" s="138"/>
      <c r="F41" s="138"/>
      <c r="G41" s="19"/>
      <c r="I41" s="19"/>
      <c r="J41" s="40"/>
      <c r="K41" s="40"/>
      <c r="L41" s="19"/>
      <c r="M41" s="40"/>
      <c r="N41" s="40"/>
      <c r="P41" s="38"/>
      <c r="Q41" s="38"/>
    </row>
    <row r="42" spans="2:17" ht="18.75" x14ac:dyDescent="0.3">
      <c r="B42" s="19"/>
      <c r="C42" s="122"/>
      <c r="D42" s="138"/>
      <c r="E42" s="138"/>
      <c r="F42" s="138"/>
      <c r="G42" s="19"/>
      <c r="I42" s="20"/>
      <c r="J42" s="41"/>
      <c r="K42" s="41"/>
      <c r="L42" s="41"/>
      <c r="M42" s="41"/>
      <c r="N42" s="48"/>
      <c r="O42" s="19"/>
      <c r="P42" s="19"/>
      <c r="Q42" s="19"/>
    </row>
    <row r="43" spans="2:17" x14ac:dyDescent="0.25">
      <c r="B43" s="19"/>
      <c r="C43" s="123"/>
      <c r="D43" s="139"/>
      <c r="E43" s="139"/>
      <c r="F43" s="139"/>
      <c r="G43" s="138"/>
      <c r="I43" s="21"/>
      <c r="J43" s="42"/>
      <c r="K43" s="41"/>
      <c r="L43" s="50"/>
      <c r="M43" s="49"/>
      <c r="N43" s="51"/>
      <c r="O43" s="22"/>
      <c r="P43" s="19"/>
      <c r="Q43" s="19"/>
    </row>
    <row r="44" spans="2:17" x14ac:dyDescent="0.25">
      <c r="B44" s="19"/>
      <c r="C44" s="137"/>
      <c r="D44" s="138"/>
      <c r="E44" s="138"/>
      <c r="F44" s="167"/>
      <c r="G44" s="19"/>
      <c r="I44" s="23"/>
      <c r="J44" s="43"/>
      <c r="K44" s="41"/>
      <c r="L44" s="50"/>
      <c r="M44" s="52"/>
      <c r="N44" s="51"/>
      <c r="O44" s="22"/>
      <c r="P44" s="39"/>
      <c r="Q44" s="19"/>
    </row>
    <row r="45" spans="2:17" x14ac:dyDescent="0.25">
      <c r="B45" s="19"/>
      <c r="C45" s="122"/>
      <c r="D45" s="138"/>
      <c r="E45" s="138"/>
      <c r="F45" s="167"/>
      <c r="G45" s="19"/>
      <c r="I45" s="23"/>
      <c r="J45" s="44"/>
      <c r="K45" s="41"/>
      <c r="L45" s="50"/>
      <c r="M45" s="53"/>
      <c r="N45" s="51"/>
      <c r="O45" s="22"/>
      <c r="P45" s="39"/>
      <c r="Q45" s="19"/>
    </row>
    <row r="46" spans="2:17" ht="60.75" customHeight="1" x14ac:dyDescent="0.25">
      <c r="B46" s="19"/>
      <c r="C46" s="122"/>
      <c r="D46" s="138"/>
      <c r="E46" s="138"/>
      <c r="F46" s="167"/>
      <c r="G46" s="19"/>
      <c r="N46" s="51"/>
      <c r="O46" s="22"/>
      <c r="P46" s="39"/>
      <c r="Q46" s="39"/>
    </row>
    <row r="47" spans="2:17" ht="32.25" customHeight="1" x14ac:dyDescent="0.25">
      <c r="B47" s="19"/>
      <c r="C47" s="123"/>
      <c r="D47" s="138"/>
      <c r="E47" s="138"/>
      <c r="F47" s="167"/>
      <c r="G47" s="19"/>
      <c r="N47" s="51"/>
      <c r="O47" s="22"/>
    </row>
    <row r="48" spans="2:17" x14ac:dyDescent="0.25">
      <c r="B48" s="19"/>
      <c r="C48" s="19"/>
      <c r="D48" s="127"/>
      <c r="E48" s="128"/>
      <c r="F48" s="168"/>
      <c r="G48" s="127"/>
      <c r="N48" s="51"/>
      <c r="O48" s="22"/>
    </row>
    <row r="49" spans="2:14" x14ac:dyDescent="0.25">
      <c r="B49" s="19"/>
      <c r="C49" s="19"/>
      <c r="D49" s="127"/>
      <c r="E49" s="128"/>
      <c r="F49" s="127"/>
      <c r="G49" s="127"/>
      <c r="I49" s="23"/>
    </row>
    <row r="50" spans="2:14" x14ac:dyDescent="0.25">
      <c r="D50" s="25"/>
      <c r="E50" s="26"/>
      <c r="F50" s="25"/>
      <c r="G50" s="25"/>
      <c r="I50" s="23"/>
      <c r="N50" s="28"/>
    </row>
  </sheetData>
  <mergeCells count="6">
    <mergeCell ref="A1:S1"/>
    <mergeCell ref="A2:T2"/>
    <mergeCell ref="H25:K25"/>
    <mergeCell ref="J27:L27"/>
    <mergeCell ref="A3:F3"/>
    <mergeCell ref="D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Pētersone</dc:creator>
  <cp:lastModifiedBy>Ieva Pētersone</cp:lastModifiedBy>
  <cp:lastPrinted>2020-10-29T12:30:00Z</cp:lastPrinted>
  <dcterms:created xsi:type="dcterms:W3CDTF">2020-10-22T13:25:55Z</dcterms:created>
  <dcterms:modified xsi:type="dcterms:W3CDTF">2021-04-20T11:05:49Z</dcterms:modified>
</cp:coreProperties>
</file>